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0" windowWidth="28575" windowHeight="225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F57" i="8"/>
  <c r="E57"/>
  <c r="D57"/>
  <c r="C57"/>
  <c r="B57"/>
  <c r="C29"/>
  <c r="K28"/>
  <c r="J28"/>
  <c r="I28"/>
  <c r="H28"/>
  <c r="G28"/>
  <c r="F28"/>
  <c r="E28"/>
  <c r="D28"/>
  <c r="C28"/>
  <c r="B28"/>
  <c r="D23" l="1"/>
  <c r="E23" s="1"/>
  <c r="C23"/>
  <c r="P126" i="15"/>
  <c r="P123"/>
  <c r="P122"/>
  <c r="S119"/>
  <c r="S120"/>
  <c r="S118"/>
  <c r="P115"/>
  <c r="S100"/>
  <c r="S99"/>
  <c r="S97"/>
  <c r="P82"/>
  <c r="P81"/>
  <c r="P79"/>
  <c r="S57"/>
  <c r="S73"/>
  <c r="P67"/>
  <c r="P68"/>
  <c r="P69"/>
  <c r="P70"/>
  <c r="P71"/>
  <c r="P72"/>
  <c r="P74"/>
  <c r="P75"/>
  <c r="P76"/>
  <c r="P66"/>
  <c r="P56"/>
  <c r="P63"/>
  <c r="S62"/>
  <c r="S59"/>
  <c r="S54"/>
  <c r="P30"/>
  <c r="P25"/>
  <c r="S19"/>
  <c r="S16"/>
  <c r="S14"/>
  <c r="P9"/>
  <c r="P10"/>
  <c r="P11"/>
  <c r="P12"/>
  <c r="P13"/>
  <c r="P15"/>
  <c r="P8"/>
  <c r="A1683" i="46"/>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G1625" s="1"/>
  <c r="F1624"/>
  <c r="E1624"/>
  <c r="F1623"/>
  <c r="E1623"/>
  <c r="F1622"/>
  <c r="E1622"/>
  <c r="F1621"/>
  <c r="E1621"/>
  <c r="J1612"/>
  <c r="I1612"/>
  <c r="J1611"/>
  <c r="I1611"/>
  <c r="K1611" s="1"/>
  <c r="J1610"/>
  <c r="I1610"/>
  <c r="J1609"/>
  <c r="I1609"/>
  <c r="K1609" s="1"/>
  <c r="J1608"/>
  <c r="I1608"/>
  <c r="F1608"/>
  <c r="F1609"/>
  <c r="F1610"/>
  <c r="F1611"/>
  <c r="F1612"/>
  <c r="E1609"/>
  <c r="G1609" s="1"/>
  <c r="E1610"/>
  <c r="G1610" s="1"/>
  <c r="E1611"/>
  <c r="G1611" s="1"/>
  <c r="E1612"/>
  <c r="E1608"/>
  <c r="G1608" s="1"/>
  <c r="G1649"/>
  <c r="G1647"/>
  <c r="F1632"/>
  <c r="E1632"/>
  <c r="G1632" s="1"/>
  <c r="F1631"/>
  <c r="E1631"/>
  <c r="G1631" s="1"/>
  <c r="F1630"/>
  <c r="E1630"/>
  <c r="F1629"/>
  <c r="E1629"/>
  <c r="F1628"/>
  <c r="E1628"/>
  <c r="J1632"/>
  <c r="I1632"/>
  <c r="J1631"/>
  <c r="I1631"/>
  <c r="J1630"/>
  <c r="I1630"/>
  <c r="J1629"/>
  <c r="I1629"/>
  <c r="J1628"/>
  <c r="I1628"/>
  <c r="J1619"/>
  <c r="I1619"/>
  <c r="J1618"/>
  <c r="I1618"/>
  <c r="J1617"/>
  <c r="I1617"/>
  <c r="K1617" s="1"/>
  <c r="J1616"/>
  <c r="I1616"/>
  <c r="J1615"/>
  <c r="I1615"/>
  <c r="F1619"/>
  <c r="E1619"/>
  <c r="F1618"/>
  <c r="E1618"/>
  <c r="F1617"/>
  <c r="E1617"/>
  <c r="F1616"/>
  <c r="E1616"/>
  <c r="G1616" s="1"/>
  <c r="F1615"/>
  <c r="E1615"/>
  <c r="J1606"/>
  <c r="I1606"/>
  <c r="J1605"/>
  <c r="I1605"/>
  <c r="J1604"/>
  <c r="I1604"/>
  <c r="K1604" s="1"/>
  <c r="J1603"/>
  <c r="I1603"/>
  <c r="J1602"/>
  <c r="I1602"/>
  <c r="K1602" s="1"/>
  <c r="F1602"/>
  <c r="F1603"/>
  <c r="F1604"/>
  <c r="F1605"/>
  <c r="F1606"/>
  <c r="E1603"/>
  <c r="G1603" s="1"/>
  <c r="E1604"/>
  <c r="G1604" s="1"/>
  <c r="E1605"/>
  <c r="G1605" s="1"/>
  <c r="E1606"/>
  <c r="G1606"/>
  <c r="E1602"/>
  <c r="K1598"/>
  <c r="I1598"/>
  <c r="D1598"/>
  <c r="O1595"/>
  <c r="K1624"/>
  <c r="K320" i="11"/>
  <c r="G320"/>
  <c r="K319"/>
  <c r="G319"/>
  <c r="K318"/>
  <c r="G318"/>
  <c r="K317"/>
  <c r="G317"/>
  <c r="K316"/>
  <c r="G316"/>
  <c r="K307"/>
  <c r="G307"/>
  <c r="K306"/>
  <c r="G306"/>
  <c r="K305"/>
  <c r="G305"/>
  <c r="K304"/>
  <c r="G304"/>
  <c r="M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L1553" s="1"/>
  <c r="O1549"/>
  <c r="O1525"/>
  <c r="O1491"/>
  <c r="O1485"/>
  <c r="N1485" s="1"/>
  <c r="O1470"/>
  <c r="O1468" s="1"/>
  <c r="O1469"/>
  <c r="O1458"/>
  <c r="N1458" s="1"/>
  <c r="O1379"/>
  <c r="N1379" s="1"/>
  <c r="O1373"/>
  <c r="O1368"/>
  <c r="Q1368" s="1"/>
  <c r="O1369"/>
  <c r="Q1369" s="1"/>
  <c r="O1370"/>
  <c r="O1367"/>
  <c r="M1609"/>
  <c r="M291" i="11"/>
  <c r="G1623" i="46"/>
  <c r="K1612"/>
  <c r="G1629"/>
  <c r="G1612"/>
  <c r="K1605"/>
  <c r="K1616"/>
  <c r="K1606"/>
  <c r="M290" i="11"/>
  <c r="M305"/>
  <c r="M307"/>
  <c r="M292"/>
  <c r="M294"/>
  <c r="M303"/>
  <c r="M318"/>
  <c r="M320"/>
  <c r="M319"/>
  <c r="M293"/>
  <c r="M317"/>
  <c r="M306"/>
  <c r="M316"/>
  <c r="O1559" i="46"/>
  <c r="A79" i="11"/>
  <c r="A80"/>
  <c r="A81"/>
  <c r="A78"/>
  <c r="A75"/>
  <c r="A73"/>
  <c r="P47"/>
  <c r="Q55"/>
  <c r="P1365" i="46"/>
  <c r="Q52" i="11"/>
  <c r="A1499" i="46"/>
  <c r="A1489"/>
  <c r="O303" i="11"/>
  <c r="O316"/>
  <c r="O290"/>
  <c r="A1666" i="46"/>
  <c r="A1658"/>
  <c r="A1640"/>
  <c r="A1590"/>
  <c r="A1566"/>
  <c r="A1555"/>
  <c r="A1544"/>
  <c r="A1532"/>
  <c r="A1481"/>
  <c r="A1472"/>
  <c r="A1464"/>
  <c r="A1454"/>
  <c r="A1439"/>
  <c r="A1412"/>
  <c r="A1401"/>
  <c r="A1383"/>
  <c r="A1375"/>
  <c r="A1352"/>
  <c r="A1361"/>
  <c r="O1359"/>
  <c r="O1358"/>
  <c r="I1350"/>
  <c r="I1349"/>
  <c r="K1349" s="1"/>
  <c r="A1332"/>
  <c r="P1329"/>
  <c r="P1330"/>
  <c r="P1328"/>
  <c r="P1326" s="1"/>
  <c r="O1329"/>
  <c r="O1330"/>
  <c r="O1328"/>
  <c r="M1670"/>
  <c r="M1324"/>
  <c r="P1662"/>
  <c r="P1572"/>
  <c r="F1571"/>
  <c r="L1560"/>
  <c r="P1559"/>
  <c r="P1548"/>
  <c r="L1536"/>
  <c r="M1528"/>
  <c r="K1528"/>
  <c r="L1503"/>
  <c r="L1501"/>
  <c r="E1486"/>
  <c r="G1486" s="1"/>
  <c r="G1477"/>
  <c r="P1468"/>
  <c r="J1444"/>
  <c r="P1443"/>
  <c r="H1419"/>
  <c r="A1407"/>
  <c r="E1406"/>
  <c r="A1399"/>
  <c r="A1398"/>
  <c r="A1397"/>
  <c r="A1396"/>
  <c r="A1392"/>
  <c r="A1390"/>
  <c r="J1388"/>
  <c r="O1387" s="1"/>
  <c r="P1387"/>
  <c r="J1366"/>
  <c r="P1356"/>
  <c r="P1334"/>
  <c r="G1329"/>
  <c r="K1334"/>
  <c r="G1330"/>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P303" i="11"/>
  <c r="O1527" i="46"/>
  <c r="P1527"/>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E897" s="1"/>
  <c r="D882"/>
  <c r="C882"/>
  <c r="B882"/>
  <c r="K880"/>
  <c r="J880"/>
  <c r="I880"/>
  <c r="H880"/>
  <c r="G880"/>
  <c r="F880"/>
  <c r="E880"/>
  <c r="D880"/>
  <c r="C880"/>
  <c r="B880"/>
  <c r="K879"/>
  <c r="K897" s="1"/>
  <c r="J879"/>
  <c r="I879"/>
  <c r="H879"/>
  <c r="G879"/>
  <c r="F879"/>
  <c r="E879"/>
  <c r="D879"/>
  <c r="D897" s="1"/>
  <c r="C879"/>
  <c r="B879"/>
  <c r="A867"/>
  <c r="A896"/>
  <c r="A859"/>
  <c r="A888"/>
  <c r="A858"/>
  <c r="A887"/>
  <c r="A857"/>
  <c r="A886"/>
  <c r="A856"/>
  <c r="A885"/>
  <c r="K853"/>
  <c r="J853"/>
  <c r="I853"/>
  <c r="H853"/>
  <c r="G853"/>
  <c r="F853"/>
  <c r="E853"/>
  <c r="D853"/>
  <c r="C853"/>
  <c r="B853"/>
  <c r="K851"/>
  <c r="J851"/>
  <c r="J855" s="1"/>
  <c r="I851"/>
  <c r="H851"/>
  <c r="G851"/>
  <c r="G868" s="1"/>
  <c r="F851"/>
  <c r="E851"/>
  <c r="D851"/>
  <c r="C851"/>
  <c r="B851"/>
  <c r="B855" s="1"/>
  <c r="K850"/>
  <c r="J850"/>
  <c r="I850"/>
  <c r="I868" s="1"/>
  <c r="H850"/>
  <c r="H855" s="1"/>
  <c r="G850"/>
  <c r="F850"/>
  <c r="E850"/>
  <c r="D850"/>
  <c r="D868" s="1"/>
  <c r="C850"/>
  <c r="B850"/>
  <c r="A837"/>
  <c r="A866"/>
  <c r="A895" s="1"/>
  <c r="A836"/>
  <c r="A865" s="1"/>
  <c r="A894" s="1"/>
  <c r="A835"/>
  <c r="A864"/>
  <c r="A893" s="1"/>
  <c r="B825"/>
  <c r="K824"/>
  <c r="J824"/>
  <c r="I824"/>
  <c r="H824"/>
  <c r="G824"/>
  <c r="F824"/>
  <c r="E824"/>
  <c r="D824"/>
  <c r="C824"/>
  <c r="B824"/>
  <c r="B823"/>
  <c r="K822"/>
  <c r="J822"/>
  <c r="I822"/>
  <c r="H822"/>
  <c r="H839" s="1"/>
  <c r="G822"/>
  <c r="F822"/>
  <c r="E822"/>
  <c r="D822"/>
  <c r="C822"/>
  <c r="B822"/>
  <c r="K821"/>
  <c r="J821"/>
  <c r="J839" s="1"/>
  <c r="I821"/>
  <c r="H821"/>
  <c r="G821"/>
  <c r="F821"/>
  <c r="F839" s="1"/>
  <c r="E821"/>
  <c r="D821"/>
  <c r="C821"/>
  <c r="B821"/>
  <c r="B818"/>
  <c r="C817"/>
  <c r="C818"/>
  <c r="K811"/>
  <c r="K809"/>
  <c r="A805"/>
  <c r="K802"/>
  <c r="A802"/>
  <c r="P795"/>
  <c r="P776"/>
  <c r="P777"/>
  <c r="P775"/>
  <c r="P778" s="1"/>
  <c r="K776"/>
  <c r="K775"/>
  <c r="K795"/>
  <c r="F795"/>
  <c r="F796"/>
  <c r="F797"/>
  <c r="F798"/>
  <c r="F786"/>
  <c r="F787"/>
  <c r="K794"/>
  <c r="K793"/>
  <c r="K792"/>
  <c r="K791"/>
  <c r="K785"/>
  <c r="K784"/>
  <c r="K783"/>
  <c r="K786" s="1"/>
  <c r="K782"/>
  <c r="F794"/>
  <c r="F793"/>
  <c r="F792"/>
  <c r="F799" s="1"/>
  <c r="F791"/>
  <c r="F785"/>
  <c r="F784"/>
  <c r="F783"/>
  <c r="F782"/>
  <c r="F776"/>
  <c r="F777"/>
  <c r="F778"/>
  <c r="F775"/>
  <c r="N777"/>
  <c r="I795"/>
  <c r="I785"/>
  <c r="B798"/>
  <c r="B787"/>
  <c r="B778"/>
  <c r="P769"/>
  <c r="O769"/>
  <c r="N769"/>
  <c r="M769"/>
  <c r="M770" s="1"/>
  <c r="L769"/>
  <c r="L770" s="1"/>
  <c r="K769"/>
  <c r="J769"/>
  <c r="I769"/>
  <c r="I770" s="1"/>
  <c r="H769"/>
  <c r="G769"/>
  <c r="P768"/>
  <c r="O768"/>
  <c r="N768"/>
  <c r="N770" s="1"/>
  <c r="M768"/>
  <c r="L768"/>
  <c r="K768"/>
  <c r="J768"/>
  <c r="J770" s="1"/>
  <c r="I768"/>
  <c r="H768"/>
  <c r="G768"/>
  <c r="P764"/>
  <c r="P765" s="1"/>
  <c r="O764"/>
  <c r="N764"/>
  <c r="M764"/>
  <c r="L764"/>
  <c r="K764"/>
  <c r="J764"/>
  <c r="I764"/>
  <c r="H764"/>
  <c r="H765" s="1"/>
  <c r="G764"/>
  <c r="P763"/>
  <c r="O763"/>
  <c r="N763"/>
  <c r="N765" s="1"/>
  <c r="M763"/>
  <c r="L763"/>
  <c r="K763"/>
  <c r="J763"/>
  <c r="J765" s="1"/>
  <c r="I763"/>
  <c r="H763"/>
  <c r="G763"/>
  <c r="P759"/>
  <c r="O759"/>
  <c r="N759"/>
  <c r="M759"/>
  <c r="L759"/>
  <c r="K759"/>
  <c r="J759"/>
  <c r="I759"/>
  <c r="H759"/>
  <c r="G759"/>
  <c r="P758"/>
  <c r="O758"/>
  <c r="O760" s="1"/>
  <c r="N758"/>
  <c r="N760" s="1"/>
  <c r="M758"/>
  <c r="L758"/>
  <c r="K758"/>
  <c r="K760" s="1"/>
  <c r="J758"/>
  <c r="J760" s="1"/>
  <c r="I758"/>
  <c r="H758"/>
  <c r="G758"/>
  <c r="G760" s="1"/>
  <c r="P754"/>
  <c r="O754"/>
  <c r="N754"/>
  <c r="M754"/>
  <c r="L754"/>
  <c r="L755" s="1"/>
  <c r="K754"/>
  <c r="J754"/>
  <c r="I754"/>
  <c r="H754"/>
  <c r="G754"/>
  <c r="P753"/>
  <c r="O753"/>
  <c r="N753"/>
  <c r="N755" s="1"/>
  <c r="M753"/>
  <c r="L753"/>
  <c r="K753"/>
  <c r="J753"/>
  <c r="J755" s="1"/>
  <c r="I753"/>
  <c r="H753"/>
  <c r="G753"/>
  <c r="P749"/>
  <c r="P750" s="1"/>
  <c r="O749"/>
  <c r="N749"/>
  <c r="M749"/>
  <c r="L749"/>
  <c r="L750" s="1"/>
  <c r="K749"/>
  <c r="J749"/>
  <c r="I749"/>
  <c r="I750" s="1"/>
  <c r="H749"/>
  <c r="G749"/>
  <c r="P748"/>
  <c r="O748"/>
  <c r="N748"/>
  <c r="N750" s="1"/>
  <c r="M748"/>
  <c r="L748"/>
  <c r="K748"/>
  <c r="J748"/>
  <c r="J750" s="1"/>
  <c r="I748"/>
  <c r="H748"/>
  <c r="G748"/>
  <c r="C769"/>
  <c r="C764"/>
  <c r="C759"/>
  <c r="C754"/>
  <c r="C749"/>
  <c r="C744"/>
  <c r="H743"/>
  <c r="I743"/>
  <c r="J743"/>
  <c r="J745" s="1"/>
  <c r="K743"/>
  <c r="L743"/>
  <c r="M743"/>
  <c r="N743"/>
  <c r="N745" s="1"/>
  <c r="O743"/>
  <c r="O745" s="1"/>
  <c r="P743"/>
  <c r="H744"/>
  <c r="H745" s="1"/>
  <c r="I744"/>
  <c r="J744"/>
  <c r="K744"/>
  <c r="L744"/>
  <c r="M744"/>
  <c r="N744"/>
  <c r="O744"/>
  <c r="P744"/>
  <c r="P745" s="1"/>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K681" s="1"/>
  <c r="H645"/>
  <c r="H646"/>
  <c r="H647"/>
  <c r="H648"/>
  <c r="H649"/>
  <c r="H650"/>
  <c r="H651"/>
  <c r="H652"/>
  <c r="H653"/>
  <c r="H654"/>
  <c r="H655"/>
  <c r="H656"/>
  <c r="H657"/>
  <c r="H658"/>
  <c r="H659"/>
  <c r="H660"/>
  <c r="H661"/>
  <c r="H662"/>
  <c r="H663"/>
  <c r="H664"/>
  <c r="H665"/>
  <c r="H666"/>
  <c r="H667"/>
  <c r="H668"/>
  <c r="H669"/>
  <c r="H670"/>
  <c r="H671"/>
  <c r="H672"/>
  <c r="K672" s="1"/>
  <c r="L672" s="1"/>
  <c r="H673"/>
  <c r="H674"/>
  <c r="H675"/>
  <c r="K675" s="1"/>
  <c r="H676"/>
  <c r="H677"/>
  <c r="H678"/>
  <c r="H679"/>
  <c r="H680"/>
  <c r="H681"/>
  <c r="P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HM675" s="1"/>
  <c r="C676"/>
  <c r="C677"/>
  <c r="C678"/>
  <c r="C679"/>
  <c r="GP679" s="1"/>
  <c r="C680"/>
  <c r="C681"/>
  <c r="B645"/>
  <c r="B646"/>
  <c r="B647"/>
  <c r="B648"/>
  <c r="B649"/>
  <c r="B650"/>
  <c r="B651"/>
  <c r="B652"/>
  <c r="B653"/>
  <c r="B654"/>
  <c r="B655"/>
  <c r="B656"/>
  <c r="B657"/>
  <c r="B658"/>
  <c r="B659"/>
  <c r="B660"/>
  <c r="B661"/>
  <c r="B662"/>
  <c r="B663"/>
  <c r="B664"/>
  <c r="B665"/>
  <c r="B666"/>
  <c r="B667"/>
  <c r="B668"/>
  <c r="B669"/>
  <c r="B670"/>
  <c r="B671"/>
  <c r="B672"/>
  <c r="B673"/>
  <c r="B674"/>
  <c r="HF674" s="1"/>
  <c r="B675"/>
  <c r="B676"/>
  <c r="B677"/>
  <c r="B678"/>
  <c r="HJ678" s="1"/>
  <c r="B679"/>
  <c r="B680"/>
  <c r="B681"/>
  <c r="O644"/>
  <c r="N644"/>
  <c r="M644"/>
  <c r="J644"/>
  <c r="I644"/>
  <c r="H644"/>
  <c r="G644"/>
  <c r="F644"/>
  <c r="E644"/>
  <c r="E682" s="1"/>
  <c r="D644"/>
  <c r="C644"/>
  <c r="B644"/>
  <c r="G640"/>
  <c r="G639"/>
  <c r="D817"/>
  <c r="E817"/>
  <c r="E818"/>
  <c r="E825"/>
  <c r="C825"/>
  <c r="B819"/>
  <c r="C819"/>
  <c r="C820"/>
  <c r="C823"/>
  <c r="T772"/>
  <c r="P770"/>
  <c r="O770"/>
  <c r="K770"/>
  <c r="H770"/>
  <c r="G770"/>
  <c r="T767"/>
  <c r="L765"/>
  <c r="T762"/>
  <c r="P760"/>
  <c r="M760"/>
  <c r="L760"/>
  <c r="I760"/>
  <c r="H760"/>
  <c r="T757"/>
  <c r="P755"/>
  <c r="H755"/>
  <c r="T752"/>
  <c r="M750"/>
  <c r="H750"/>
  <c r="T747"/>
  <c r="L745"/>
  <c r="T742"/>
  <c r="T740"/>
  <c r="T738"/>
  <c r="T727"/>
  <c r="T717"/>
  <c r="T705"/>
  <c r="T701"/>
  <c r="T697"/>
  <c r="T687"/>
  <c r="HL681"/>
  <c r="HD681"/>
  <c r="GX681"/>
  <c r="GV681"/>
  <c r="GP681"/>
  <c r="GN681"/>
  <c r="GL681"/>
  <c r="GJ681"/>
  <c r="GH681"/>
  <c r="GF681"/>
  <c r="GD681"/>
  <c r="GB681"/>
  <c r="FZ681"/>
  <c r="FX681"/>
  <c r="FV681"/>
  <c r="FT681"/>
  <c r="FR681"/>
  <c r="FP681"/>
  <c r="FN681"/>
  <c r="FL681"/>
  <c r="FJ681"/>
  <c r="FH681"/>
  <c r="FF681"/>
  <c r="FD681"/>
  <c r="FB681"/>
  <c r="EZ681"/>
  <c r="EX681"/>
  <c r="EV681"/>
  <c r="ER681"/>
  <c r="EJ681"/>
  <c r="EB681"/>
  <c r="DL681"/>
  <c r="DD681"/>
  <c r="DB681"/>
  <c r="DA681"/>
  <c r="CZ681"/>
  <c r="CY681"/>
  <c r="CX681"/>
  <c r="CT681"/>
  <c r="CR681"/>
  <c r="CL681"/>
  <c r="CJ681"/>
  <c r="CD681"/>
  <c r="CB681"/>
  <c r="BX681"/>
  <c r="BW681"/>
  <c r="BV681"/>
  <c r="BU681"/>
  <c r="BT681"/>
  <c r="BR681"/>
  <c r="BP681"/>
  <c r="BJ681"/>
  <c r="BH681"/>
  <c r="BB681"/>
  <c r="AZ681"/>
  <c r="AT681"/>
  <c r="AR681"/>
  <c r="AL681"/>
  <c r="AJ681"/>
  <c r="AD681"/>
  <c r="AB681"/>
  <c r="V681"/>
  <c r="HJ680"/>
  <c r="HH680"/>
  <c r="HB680"/>
  <c r="GZ680"/>
  <c r="GX680"/>
  <c r="GV680"/>
  <c r="GT680"/>
  <c r="GR680"/>
  <c r="GP680"/>
  <c r="GL680"/>
  <c r="GD680"/>
  <c r="FN680"/>
  <c r="FF680"/>
  <c r="EX680"/>
  <c r="EP680"/>
  <c r="EN680"/>
  <c r="EH680"/>
  <c r="EF680"/>
  <c r="DZ680"/>
  <c r="DX680"/>
  <c r="DR680"/>
  <c r="DP680"/>
  <c r="DJ680"/>
  <c r="DH680"/>
  <c r="DB680"/>
  <c r="CZ680"/>
  <c r="CX680"/>
  <c r="CV680"/>
  <c r="CT680"/>
  <c r="CR680"/>
  <c r="CP680"/>
  <c r="CN680"/>
  <c r="CL680"/>
  <c r="CJ680"/>
  <c r="CH680"/>
  <c r="CF680"/>
  <c r="CD680"/>
  <c r="CB680"/>
  <c r="BZ680"/>
  <c r="BX680"/>
  <c r="BV680"/>
  <c r="BT680"/>
  <c r="BR680"/>
  <c r="BP680"/>
  <c r="BN680"/>
  <c r="BL680"/>
  <c r="BJ680"/>
  <c r="BH680"/>
  <c r="BF680"/>
  <c r="BD680"/>
  <c r="BB680"/>
  <c r="AZ680"/>
  <c r="AX680"/>
  <c r="AV680"/>
  <c r="AT680"/>
  <c r="AR680"/>
  <c r="AP680"/>
  <c r="AN680"/>
  <c r="AL680"/>
  <c r="AJ680"/>
  <c r="AH680"/>
  <c r="AF680"/>
  <c r="AD680"/>
  <c r="AB680"/>
  <c r="Z680"/>
  <c r="X680"/>
  <c r="V680"/>
  <c r="A680"/>
  <c r="HF679"/>
  <c r="GX679"/>
  <c r="GH679"/>
  <c r="FZ679"/>
  <c r="FR679"/>
  <c r="FB679"/>
  <c r="ET679"/>
  <c r="EL679"/>
  <c r="DV679"/>
  <c r="DN679"/>
  <c r="DF679"/>
  <c r="CT679"/>
  <c r="CL679"/>
  <c r="CD679"/>
  <c r="BR679"/>
  <c r="BJ679"/>
  <c r="BB679"/>
  <c r="AL679"/>
  <c r="AD679"/>
  <c r="V679"/>
  <c r="HB678"/>
  <c r="GT678"/>
  <c r="GN678"/>
  <c r="GL678"/>
  <c r="GF678"/>
  <c r="GD678"/>
  <c r="FX678"/>
  <c r="FV678"/>
  <c r="FP678"/>
  <c r="FN678"/>
  <c r="FH678"/>
  <c r="FF678"/>
  <c r="EZ678"/>
  <c r="EX678"/>
  <c r="EP678"/>
  <c r="DZ678"/>
  <c r="DR678"/>
  <c r="DJ678"/>
  <c r="DB678"/>
  <c r="CT678"/>
  <c r="CL678"/>
  <c r="CD678"/>
  <c r="BX678"/>
  <c r="BV678"/>
  <c r="BN678"/>
  <c r="BF678"/>
  <c r="AP678"/>
  <c r="AH678"/>
  <c r="Z678"/>
  <c r="P678"/>
  <c r="K678"/>
  <c r="HH677"/>
  <c r="GZ677"/>
  <c r="GT677"/>
  <c r="GR677"/>
  <c r="GN677"/>
  <c r="GL677"/>
  <c r="GJ677"/>
  <c r="GH677"/>
  <c r="GF677"/>
  <c r="GD677"/>
  <c r="GB677"/>
  <c r="FZ677"/>
  <c r="FX677"/>
  <c r="FV677"/>
  <c r="FT677"/>
  <c r="FR677"/>
  <c r="FP677"/>
  <c r="FN677"/>
  <c r="FL677"/>
  <c r="FJ677"/>
  <c r="FI677"/>
  <c r="FH677"/>
  <c r="FG677"/>
  <c r="FF677"/>
  <c r="FE677"/>
  <c r="FD677"/>
  <c r="FC677"/>
  <c r="FB677"/>
  <c r="FA677"/>
  <c r="EZ677"/>
  <c r="EY677"/>
  <c r="EX677"/>
  <c r="EW677"/>
  <c r="EV677"/>
  <c r="ER677"/>
  <c r="EN677"/>
  <c r="EJ677"/>
  <c r="EF677"/>
  <c r="EB677"/>
  <c r="DX677"/>
  <c r="DT677"/>
  <c r="DP677"/>
  <c r="DL677"/>
  <c r="DH677"/>
  <c r="DD677"/>
  <c r="DB677"/>
  <c r="DA677"/>
  <c r="CZ677"/>
  <c r="CY677"/>
  <c r="CX677"/>
  <c r="CV677"/>
  <c r="CU677"/>
  <c r="CR677"/>
  <c r="CQ677"/>
  <c r="CN677"/>
  <c r="CM677"/>
  <c r="CJ677"/>
  <c r="CI677"/>
  <c r="CF677"/>
  <c r="CE677"/>
  <c r="CB677"/>
  <c r="CA677"/>
  <c r="BX677"/>
  <c r="BW677"/>
  <c r="BV677"/>
  <c r="BU677"/>
  <c r="BT677"/>
  <c r="BS677"/>
  <c r="BP677"/>
  <c r="BO677"/>
  <c r="BL677"/>
  <c r="BK677"/>
  <c r="BH677"/>
  <c r="BG677"/>
  <c r="BD677"/>
  <c r="BC677"/>
  <c r="AZ677"/>
  <c r="AY677"/>
  <c r="AV677"/>
  <c r="AU677"/>
  <c r="AR677"/>
  <c r="AQ677"/>
  <c r="AN677"/>
  <c r="AM677"/>
  <c r="AJ677"/>
  <c r="AI677"/>
  <c r="AF677"/>
  <c r="AE677"/>
  <c r="AB677"/>
  <c r="AA677"/>
  <c r="X677"/>
  <c r="W677"/>
  <c r="P677"/>
  <c r="K677"/>
  <c r="L677" s="1"/>
  <c r="HK676"/>
  <c r="HJ676"/>
  <c r="HG676"/>
  <c r="HF676"/>
  <c r="HC676"/>
  <c r="HB676"/>
  <c r="GY676"/>
  <c r="GX676"/>
  <c r="GW676"/>
  <c r="GV676"/>
  <c r="GU676"/>
  <c r="GT676"/>
  <c r="GS676"/>
  <c r="GR676"/>
  <c r="GQ676"/>
  <c r="GP676"/>
  <c r="GO676"/>
  <c r="GL676"/>
  <c r="GH676"/>
  <c r="GD676"/>
  <c r="FZ676"/>
  <c r="FV676"/>
  <c r="FR676"/>
  <c r="FN676"/>
  <c r="FJ676"/>
  <c r="FF676"/>
  <c r="FB676"/>
  <c r="EX676"/>
  <c r="EU676"/>
  <c r="ET676"/>
  <c r="EQ676"/>
  <c r="EP676"/>
  <c r="EM676"/>
  <c r="EL676"/>
  <c r="EI676"/>
  <c r="EH676"/>
  <c r="EE676"/>
  <c r="ED676"/>
  <c r="EA676"/>
  <c r="DZ676"/>
  <c r="DW676"/>
  <c r="DV676"/>
  <c r="DS676"/>
  <c r="DR676"/>
  <c r="DO676"/>
  <c r="DN676"/>
  <c r="DK676"/>
  <c r="DJ676"/>
  <c r="DG676"/>
  <c r="DF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HI675"/>
  <c r="HE675"/>
  <c r="HA675"/>
  <c r="GS675"/>
  <c r="GO675"/>
  <c r="GK675"/>
  <c r="GC675"/>
  <c r="FY675"/>
  <c r="FU675"/>
  <c r="FM675"/>
  <c r="FI675"/>
  <c r="FE675"/>
  <c r="EW675"/>
  <c r="ES675"/>
  <c r="EO675"/>
  <c r="EG675"/>
  <c r="EC675"/>
  <c r="DY675"/>
  <c r="DQ675"/>
  <c r="DM675"/>
  <c r="DI675"/>
  <c r="DA675"/>
  <c r="CW675"/>
  <c r="CS675"/>
  <c r="CK675"/>
  <c r="CG675"/>
  <c r="CC675"/>
  <c r="BU675"/>
  <c r="BQ675"/>
  <c r="BM675"/>
  <c r="BE675"/>
  <c r="BA675"/>
  <c r="AW675"/>
  <c r="AO675"/>
  <c r="AK675"/>
  <c r="AG675"/>
  <c r="AA675"/>
  <c r="Y675"/>
  <c r="V675"/>
  <c r="P675"/>
  <c r="A675"/>
  <c r="HL674"/>
  <c r="HI674"/>
  <c r="HD674"/>
  <c r="HA674"/>
  <c r="GY674"/>
  <c r="GU674"/>
  <c r="GS674"/>
  <c r="GQ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S674"/>
  <c r="EO674"/>
  <c r="EM674"/>
  <c r="EK674"/>
  <c r="EG674"/>
  <c r="EE674"/>
  <c r="EC674"/>
  <c r="DY674"/>
  <c r="DW674"/>
  <c r="DU674"/>
  <c r="DQ674"/>
  <c r="DO674"/>
  <c r="DM674"/>
  <c r="DI674"/>
  <c r="DG674"/>
  <c r="DE674"/>
  <c r="DB674"/>
  <c r="DA674"/>
  <c r="CZ674"/>
  <c r="CY674"/>
  <c r="CX674"/>
  <c r="CW674"/>
  <c r="CU674"/>
  <c r="CS674"/>
  <c r="CQ674"/>
  <c r="CO674"/>
  <c r="CM674"/>
  <c r="CI674"/>
  <c r="CG674"/>
  <c r="CE674"/>
  <c r="CA674"/>
  <c r="BY674"/>
  <c r="BX674"/>
  <c r="BW674"/>
  <c r="BV674"/>
  <c r="BU674"/>
  <c r="BT674"/>
  <c r="BQ674"/>
  <c r="BO674"/>
  <c r="BM674"/>
  <c r="BI674"/>
  <c r="BG674"/>
  <c r="BE674"/>
  <c r="BA674"/>
  <c r="AY674"/>
  <c r="AW674"/>
  <c r="AS674"/>
  <c r="AQ674"/>
  <c r="AO674"/>
  <c r="AK674"/>
  <c r="AI674"/>
  <c r="AG674"/>
  <c r="AC674"/>
  <c r="AA674"/>
  <c r="Y674"/>
  <c r="P674"/>
  <c r="K674"/>
  <c r="L674" s="1"/>
  <c r="A674"/>
  <c r="HL673"/>
  <c r="HJ673"/>
  <c r="HH673"/>
  <c r="HF673"/>
  <c r="HD673"/>
  <c r="HB673"/>
  <c r="GZ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T673"/>
  <c r="ER673"/>
  <c r="EP673"/>
  <c r="EN673"/>
  <c r="EL673"/>
  <c r="EJ673"/>
  <c r="EH673"/>
  <c r="EF673"/>
  <c r="ED673"/>
  <c r="EB673"/>
  <c r="DZ673"/>
  <c r="DX673"/>
  <c r="DV673"/>
  <c r="DT673"/>
  <c r="DR673"/>
  <c r="DP673"/>
  <c r="DN673"/>
  <c r="DL673"/>
  <c r="DJ673"/>
  <c r="DH673"/>
  <c r="DF673"/>
  <c r="DD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HM672"/>
  <c r="HL672"/>
  <c r="HK672"/>
  <c r="HJ672"/>
  <c r="HI672"/>
  <c r="HH672"/>
  <c r="HG672"/>
  <c r="HF672"/>
  <c r="HE672"/>
  <c r="HD672"/>
  <c r="HC672"/>
  <c r="HB672"/>
  <c r="HA672"/>
  <c r="GZ672"/>
  <c r="GY672"/>
  <c r="GX672"/>
  <c r="GW672"/>
  <c r="GV672"/>
  <c r="GU672"/>
  <c r="GT672"/>
  <c r="GS672"/>
  <c r="GR672"/>
  <c r="GQ672"/>
  <c r="GP672"/>
  <c r="GO672"/>
  <c r="GM672"/>
  <c r="GK672"/>
  <c r="GI672"/>
  <c r="GG672"/>
  <c r="GE672"/>
  <c r="GC672"/>
  <c r="GA672"/>
  <c r="FY672"/>
  <c r="FW672"/>
  <c r="FU672"/>
  <c r="FS672"/>
  <c r="FQ672"/>
  <c r="FO672"/>
  <c r="FM672"/>
  <c r="FK672"/>
  <c r="FI672"/>
  <c r="FG672"/>
  <c r="FE672"/>
  <c r="FC672"/>
  <c r="FA672"/>
  <c r="EY672"/>
  <c r="EW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A672"/>
  <c r="HL671"/>
  <c r="HJ671"/>
  <c r="HH671"/>
  <c r="HF671"/>
  <c r="HD671"/>
  <c r="HB671"/>
  <c r="GZ671"/>
  <c r="GX671"/>
  <c r="GV671"/>
  <c r="GT671"/>
  <c r="GR671"/>
  <c r="GP671"/>
  <c r="GN671"/>
  <c r="GL671"/>
  <c r="GJ671"/>
  <c r="GH671"/>
  <c r="GF671"/>
  <c r="GD671"/>
  <c r="GB671"/>
  <c r="FZ671"/>
  <c r="FX671"/>
  <c r="FV671"/>
  <c r="FT671"/>
  <c r="FR671"/>
  <c r="FP671"/>
  <c r="FN671"/>
  <c r="FL671"/>
  <c r="FJ671"/>
  <c r="FH671"/>
  <c r="FF671"/>
  <c r="FD671"/>
  <c r="FB671"/>
  <c r="EZ671"/>
  <c r="EX671"/>
  <c r="EV671"/>
  <c r="ET671"/>
  <c r="ER671"/>
  <c r="EP671"/>
  <c r="EN671"/>
  <c r="EL671"/>
  <c r="EJ671"/>
  <c r="EH671"/>
  <c r="EF671"/>
  <c r="ED671"/>
  <c r="EB671"/>
  <c r="DZ671"/>
  <c r="DX671"/>
  <c r="DV671"/>
  <c r="DT671"/>
  <c r="DR671"/>
  <c r="DP671"/>
  <c r="DN671"/>
  <c r="DL671"/>
  <c r="DJ671"/>
  <c r="DH671"/>
  <c r="DF671"/>
  <c r="DD671"/>
  <c r="DB671"/>
  <c r="CZ671"/>
  <c r="CX671"/>
  <c r="CV671"/>
  <c r="CT671"/>
  <c r="CR671"/>
  <c r="CP671"/>
  <c r="CN671"/>
  <c r="CL671"/>
  <c r="CJ671"/>
  <c r="CH671"/>
  <c r="CF671"/>
  <c r="CD671"/>
  <c r="CB671"/>
  <c r="BZ671"/>
  <c r="BX671"/>
  <c r="BV671"/>
  <c r="BT671"/>
  <c r="BR671"/>
  <c r="BP671"/>
  <c r="BN671"/>
  <c r="BL671"/>
  <c r="BJ671"/>
  <c r="BH671"/>
  <c r="BF671"/>
  <c r="BD671"/>
  <c r="BB671"/>
  <c r="AZ671"/>
  <c r="AX671"/>
  <c r="AV671"/>
  <c r="AT671"/>
  <c r="AR671"/>
  <c r="AP671"/>
  <c r="AN671"/>
  <c r="AL671"/>
  <c r="AJ671"/>
  <c r="AH671"/>
  <c r="AF671"/>
  <c r="AD671"/>
  <c r="AB671"/>
  <c r="Z671"/>
  <c r="X671"/>
  <c r="V671"/>
  <c r="P671"/>
  <c r="K671"/>
  <c r="L671" s="1"/>
  <c r="HM670"/>
  <c r="HK670"/>
  <c r="HI670"/>
  <c r="HG670"/>
  <c r="HE670"/>
  <c r="HC670"/>
  <c r="HA670"/>
  <c r="GY670"/>
  <c r="GW670"/>
  <c r="GU670"/>
  <c r="GS670"/>
  <c r="GQ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S670"/>
  <c r="EQ670"/>
  <c r="EO670"/>
  <c r="EM670"/>
  <c r="EK670"/>
  <c r="EI670"/>
  <c r="EG670"/>
  <c r="EE670"/>
  <c r="EC670"/>
  <c r="EA670"/>
  <c r="DY670"/>
  <c r="DW670"/>
  <c r="DU670"/>
  <c r="DS670"/>
  <c r="DQ670"/>
  <c r="DO670"/>
  <c r="DM670"/>
  <c r="DK670"/>
  <c r="DI670"/>
  <c r="DG670"/>
  <c r="DE670"/>
  <c r="DC670"/>
  <c r="DB670"/>
  <c r="DA670"/>
  <c r="CZ670"/>
  <c r="CY670"/>
  <c r="CX670"/>
  <c r="CW670"/>
  <c r="CU670"/>
  <c r="CS670"/>
  <c r="CQ670"/>
  <c r="CO670"/>
  <c r="CM670"/>
  <c r="CK670"/>
  <c r="CI670"/>
  <c r="CG670"/>
  <c r="CE670"/>
  <c r="CC670"/>
  <c r="CA670"/>
  <c r="BY670"/>
  <c r="BX670"/>
  <c r="BW670"/>
  <c r="BV670"/>
  <c r="BU670"/>
  <c r="BT670"/>
  <c r="BS670"/>
  <c r="BQ670"/>
  <c r="BO670"/>
  <c r="BM670"/>
  <c r="BK670"/>
  <c r="BI670"/>
  <c r="BG670"/>
  <c r="BE670"/>
  <c r="BC670"/>
  <c r="BA670"/>
  <c r="AY670"/>
  <c r="AW670"/>
  <c r="AU670"/>
  <c r="AS670"/>
  <c r="AQ670"/>
  <c r="AO670"/>
  <c r="AM670"/>
  <c r="AK670"/>
  <c r="AI670"/>
  <c r="AG670"/>
  <c r="AE670"/>
  <c r="AC670"/>
  <c r="AA670"/>
  <c r="Y670"/>
  <c r="W670"/>
  <c r="P670"/>
  <c r="K670"/>
  <c r="L670" s="1"/>
  <c r="A670"/>
  <c r="HL669"/>
  <c r="HJ669"/>
  <c r="HH669"/>
  <c r="HF669"/>
  <c r="HD669"/>
  <c r="HB669"/>
  <c r="GZ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T669"/>
  <c r="ER669"/>
  <c r="EP669"/>
  <c r="EN669"/>
  <c r="EL669"/>
  <c r="EJ669"/>
  <c r="EH669"/>
  <c r="EF669"/>
  <c r="ED669"/>
  <c r="EB669"/>
  <c r="DZ669"/>
  <c r="DX669"/>
  <c r="DV669"/>
  <c r="DT669"/>
  <c r="DR669"/>
  <c r="DP669"/>
  <c r="DN669"/>
  <c r="DL669"/>
  <c r="DJ669"/>
  <c r="DH669"/>
  <c r="DF669"/>
  <c r="DD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M668"/>
  <c r="GL668"/>
  <c r="GK668"/>
  <c r="GI668"/>
  <c r="GH668"/>
  <c r="GG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P558" s="1"/>
  <c r="P562" s="1"/>
  <c r="J553"/>
  <c r="J552"/>
  <c r="S541"/>
  <c r="S540"/>
  <c r="P541"/>
  <c r="P540"/>
  <c r="M541"/>
  <c r="M540"/>
  <c r="J541"/>
  <c r="J540"/>
  <c r="G541"/>
  <c r="G540"/>
  <c r="P537"/>
  <c r="P536"/>
  <c r="M537"/>
  <c r="M536"/>
  <c r="J537"/>
  <c r="S537"/>
  <c r="S536"/>
  <c r="S535"/>
  <c r="S534"/>
  <c r="S533"/>
  <c r="S532"/>
  <c r="G533"/>
  <c r="G534"/>
  <c r="G535"/>
  <c r="G536"/>
  <c r="F536" s="1"/>
  <c r="G537"/>
  <c r="A537" s="1"/>
  <c r="S529"/>
  <c r="S528"/>
  <c r="S527"/>
  <c r="S530" s="1"/>
  <c r="P529"/>
  <c r="P530" s="1"/>
  <c r="P528"/>
  <c r="P527"/>
  <c r="M529"/>
  <c r="M528"/>
  <c r="M527"/>
  <c r="J529"/>
  <c r="J528"/>
  <c r="J527"/>
  <c r="G528"/>
  <c r="F528" s="1"/>
  <c r="G529"/>
  <c r="F529" s="1"/>
  <c r="J536"/>
  <c r="G532"/>
  <c r="G527"/>
  <c r="F527" s="1"/>
  <c r="S524"/>
  <c r="S523"/>
  <c r="S522"/>
  <c r="S521"/>
  <c r="G524"/>
  <c r="G523"/>
  <c r="G522"/>
  <c r="G521"/>
  <c r="S518"/>
  <c r="S517"/>
  <c r="S516"/>
  <c r="S515"/>
  <c r="G516"/>
  <c r="G517"/>
  <c r="G518"/>
  <c r="A518" s="1"/>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7" s="1"/>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P478" s="1"/>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M461"/>
  <c r="J461"/>
  <c r="S455"/>
  <c r="P455"/>
  <c r="M455"/>
  <c r="J455"/>
  <c r="G455"/>
  <c r="C541"/>
  <c r="C537"/>
  <c r="C524"/>
  <c r="A524" s="1"/>
  <c r="C518"/>
  <c r="C517"/>
  <c r="A517" s="1"/>
  <c r="C504"/>
  <c r="C490"/>
  <c r="C477"/>
  <c r="C476"/>
  <c r="A476" s="1"/>
  <c r="C455"/>
  <c r="C429"/>
  <c r="C430"/>
  <c r="C428"/>
  <c r="A428" s="1"/>
  <c r="S451"/>
  <c r="S450"/>
  <c r="S449"/>
  <c r="S452" s="1"/>
  <c r="M451"/>
  <c r="M450"/>
  <c r="M449"/>
  <c r="J451"/>
  <c r="J450"/>
  <c r="J449"/>
  <c r="S446"/>
  <c r="S445"/>
  <c r="S444"/>
  <c r="S447" s="1"/>
  <c r="P446"/>
  <c r="P445"/>
  <c r="P444"/>
  <c r="M446"/>
  <c r="M445"/>
  <c r="M444"/>
  <c r="J446"/>
  <c r="J445"/>
  <c r="J447" s="1"/>
  <c r="J444"/>
  <c r="G445"/>
  <c r="G446"/>
  <c r="P439"/>
  <c r="P441" s="1"/>
  <c r="M439"/>
  <c r="M441" s="1"/>
  <c r="S443"/>
  <c r="P443"/>
  <c r="M443"/>
  <c r="M447" s="1"/>
  <c r="J443"/>
  <c r="G444"/>
  <c r="G443"/>
  <c r="G447" s="1"/>
  <c r="S440"/>
  <c r="S441" s="1"/>
  <c r="S439"/>
  <c r="J440"/>
  <c r="J439"/>
  <c r="J441" s="1"/>
  <c r="G440"/>
  <c r="G441" s="1"/>
  <c r="G439"/>
  <c r="S436"/>
  <c r="S435"/>
  <c r="S434"/>
  <c r="S433"/>
  <c r="M436"/>
  <c r="M435"/>
  <c r="M437" s="1"/>
  <c r="G436"/>
  <c r="G435"/>
  <c r="G434"/>
  <c r="G433"/>
  <c r="S430"/>
  <c r="S429"/>
  <c r="S428"/>
  <c r="S427"/>
  <c r="S426"/>
  <c r="S425"/>
  <c r="S424"/>
  <c r="S423"/>
  <c r="S422"/>
  <c r="S431" s="1"/>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A430" s="1"/>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P163" s="1"/>
  <c r="K162"/>
  <c r="P162" s="1"/>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92" s="1"/>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L51" s="1"/>
  <c r="F40"/>
  <c r="F41"/>
  <c r="N62"/>
  <c r="O40"/>
  <c r="O41"/>
  <c r="O39"/>
  <c r="N61"/>
  <c r="N60"/>
  <c r="N59"/>
  <c r="N38"/>
  <c r="F50"/>
  <c r="F49"/>
  <c r="F48"/>
  <c r="F47"/>
  <c r="F39"/>
  <c r="F38"/>
  <c r="O34"/>
  <c r="O33"/>
  <c r="F33"/>
  <c r="O28"/>
  <c r="J31"/>
  <c r="J30"/>
  <c r="A25"/>
  <c r="A5"/>
  <c r="A2"/>
  <c r="A3" i="6"/>
  <c r="A912" i="46"/>
  <c r="J28" i="7"/>
  <c r="H3" i="6"/>
  <c r="H912" i="46"/>
  <c r="A3"/>
  <c r="A1" i="47"/>
  <c r="D823" i="46"/>
  <c r="E819"/>
  <c r="E820"/>
  <c r="F817"/>
  <c r="G817"/>
  <c r="P542"/>
  <c r="P538"/>
  <c r="G542"/>
  <c r="A357"/>
  <c r="I596"/>
  <c r="A429"/>
  <c r="A477"/>
  <c r="D819"/>
  <c r="E823"/>
  <c r="G530"/>
  <c r="C530" s="1"/>
  <c r="J542"/>
  <c r="D818"/>
  <c r="D820"/>
  <c r="D826"/>
  <c r="D825"/>
  <c r="B820"/>
  <c r="B826"/>
  <c r="C826"/>
  <c r="J580"/>
  <c r="H49" i="3"/>
  <c r="J576" i="46" s="1"/>
  <c r="G124" i="15"/>
  <c r="G17"/>
  <c r="G105"/>
  <c r="G91"/>
  <c r="G77"/>
  <c r="G64"/>
  <c r="V12" i="36"/>
  <c r="V14"/>
  <c r="V48"/>
  <c r="H56"/>
  <c r="AA12"/>
  <c r="AA14"/>
  <c r="AA48"/>
  <c r="H57"/>
  <c r="H58"/>
  <c r="AK12"/>
  <c r="AK14"/>
  <c r="AK48"/>
  <c r="H59"/>
  <c r="H60"/>
  <c r="H62"/>
  <c r="F48" i="6"/>
  <c r="W12" i="36"/>
  <c r="W14"/>
  <c r="W48"/>
  <c r="I56"/>
  <c r="AB12"/>
  <c r="AB14"/>
  <c r="AB48"/>
  <c r="I57"/>
  <c r="I58"/>
  <c r="AL12"/>
  <c r="AL14"/>
  <c r="AL48"/>
  <c r="I59"/>
  <c r="I60"/>
  <c r="I62"/>
  <c r="F49" i="6"/>
  <c r="X12" i="36"/>
  <c r="X14"/>
  <c r="X48"/>
  <c r="J56"/>
  <c r="AC12"/>
  <c r="AC14"/>
  <c r="AC48"/>
  <c r="J57"/>
  <c r="J58"/>
  <c r="AM12"/>
  <c r="AM14"/>
  <c r="AM48"/>
  <c r="J59"/>
  <c r="J60"/>
  <c r="J62"/>
  <c r="F50" i="6"/>
  <c r="Y12" i="36"/>
  <c r="Y14"/>
  <c r="Y48"/>
  <c r="K56"/>
  <c r="AD12"/>
  <c r="AD14"/>
  <c r="AD48"/>
  <c r="K57"/>
  <c r="K58"/>
  <c r="AN12"/>
  <c r="AN14"/>
  <c r="AN48"/>
  <c r="K59"/>
  <c r="K60"/>
  <c r="K62"/>
  <c r="F51" i="6"/>
  <c r="Z12" i="36"/>
  <c r="Z14"/>
  <c r="Z48"/>
  <c r="L56"/>
  <c r="AE12"/>
  <c r="AE14"/>
  <c r="AE48"/>
  <c r="L57"/>
  <c r="L58"/>
  <c r="AO12"/>
  <c r="AO14"/>
  <c r="AO48"/>
  <c r="L59"/>
  <c r="L60"/>
  <c r="L62"/>
  <c r="F52" i="6"/>
  <c r="J538" i="46"/>
  <c r="H405"/>
  <c r="H84"/>
  <c r="K53"/>
  <c r="J52"/>
  <c r="K314" i="11"/>
  <c r="K313"/>
  <c r="K312"/>
  <c r="K311"/>
  <c r="K310"/>
  <c r="K301"/>
  <c r="K300"/>
  <c r="K299"/>
  <c r="K298"/>
  <c r="K297"/>
  <c r="K288"/>
  <c r="K287"/>
  <c r="K286"/>
  <c r="K285"/>
  <c r="K284"/>
  <c r="G314"/>
  <c r="G313"/>
  <c r="G312"/>
  <c r="G311"/>
  <c r="G310"/>
  <c r="G301"/>
  <c r="G300"/>
  <c r="G299"/>
  <c r="G298"/>
  <c r="G297"/>
  <c r="G288"/>
  <c r="G286"/>
  <c r="G287"/>
  <c r="M287"/>
  <c r="G285"/>
  <c r="G284"/>
  <c r="E826" i="46"/>
  <c r="F818"/>
  <c r="F825"/>
  <c r="F823"/>
  <c r="F819"/>
  <c r="F820"/>
  <c r="G818"/>
  <c r="G825"/>
  <c r="G819"/>
  <c r="H817"/>
  <c r="G823"/>
  <c r="M285" i="11"/>
  <c r="M297"/>
  <c r="M301"/>
  <c r="M300"/>
  <c r="M299"/>
  <c r="M310"/>
  <c r="M314"/>
  <c r="M313"/>
  <c r="M312"/>
  <c r="M311"/>
  <c r="M298"/>
  <c r="M284"/>
  <c r="M288"/>
  <c r="M286"/>
  <c r="B832" i="46"/>
  <c r="O297" i="11"/>
  <c r="O310"/>
  <c r="O284"/>
  <c r="F826" i="46"/>
  <c r="G820"/>
  <c r="I817"/>
  <c r="H819"/>
  <c r="H818"/>
  <c r="H825"/>
  <c r="H823"/>
  <c r="H101" i="11"/>
  <c r="F253"/>
  <c r="K328"/>
  <c r="K1646" i="46" s="1"/>
  <c r="P297" i="11"/>
  <c r="H820" i="46"/>
  <c r="H826"/>
  <c r="I825"/>
  <c r="I823"/>
  <c r="I819"/>
  <c r="J817"/>
  <c r="I818"/>
  <c r="P254" i="11"/>
  <c r="O254"/>
  <c r="L242"/>
  <c r="I222"/>
  <c r="L183"/>
  <c r="E168"/>
  <c r="G168" s="1"/>
  <c r="J126"/>
  <c r="J70"/>
  <c r="P69" s="1"/>
  <c r="O98"/>
  <c r="U1416" i="46"/>
  <c r="J48" i="11"/>
  <c r="O47"/>
  <c r="U1365" i="46" s="1"/>
  <c r="I820"/>
  <c r="I826"/>
  <c r="J825"/>
  <c r="J823"/>
  <c r="J819"/>
  <c r="K817"/>
  <c r="J818"/>
  <c r="E88" i="11"/>
  <c r="O87" s="1"/>
  <c r="U1405" i="46" s="1"/>
  <c r="K818"/>
  <c r="K823"/>
  <c r="B846"/>
  <c r="K825"/>
  <c r="K819"/>
  <c r="J820"/>
  <c r="J826"/>
  <c r="K820"/>
  <c r="K826"/>
  <c r="B847"/>
  <c r="B852"/>
  <c r="B854"/>
  <c r="B848"/>
  <c r="C846"/>
  <c r="K331" i="11"/>
  <c r="K1649" i="46" s="1"/>
  <c r="I29" i="7"/>
  <c r="K29"/>
  <c r="K332" i="11"/>
  <c r="K1650" i="46" s="1"/>
  <c r="K329" i="11"/>
  <c r="K1647" i="46" s="1"/>
  <c r="G159" i="11"/>
  <c r="M210"/>
  <c r="K210"/>
  <c r="P38"/>
  <c r="O38"/>
  <c r="U1356" i="46" s="1"/>
  <c r="D846"/>
  <c r="C852"/>
  <c r="C848"/>
  <c r="C847"/>
  <c r="C854"/>
  <c r="B849"/>
  <c r="D854"/>
  <c r="D852"/>
  <c r="D848"/>
  <c r="E846"/>
  <c r="D847"/>
  <c r="C849"/>
  <c r="C855"/>
  <c r="M37" i="3"/>
  <c r="M393" i="46" s="1"/>
  <c r="M35" i="3"/>
  <c r="M391" i="46" s="1"/>
  <c r="M34" i="3"/>
  <c r="M390" i="46"/>
  <c r="M33" i="3"/>
  <c r="M389" i="46"/>
  <c r="M32" i="3"/>
  <c r="M388" i="46" s="1"/>
  <c r="A89" i="11"/>
  <c r="U62" i="15"/>
  <c r="A62"/>
  <c r="W40"/>
  <c r="O40"/>
  <c r="E37"/>
  <c r="E451" i="46"/>
  <c r="E36" i="15"/>
  <c r="E450" i="46" s="1"/>
  <c r="S38" i="15"/>
  <c r="M38"/>
  <c r="J38"/>
  <c r="S33"/>
  <c r="P33"/>
  <c r="M33"/>
  <c r="J33"/>
  <c r="G33"/>
  <c r="D849" i="46"/>
  <c r="E847"/>
  <c r="E854"/>
  <c r="E852"/>
  <c r="E848"/>
  <c r="F846"/>
  <c r="B827"/>
  <c r="B25" i="8"/>
  <c r="B829" i="46" s="1"/>
  <c r="B828"/>
  <c r="B833"/>
  <c r="F847"/>
  <c r="G846"/>
  <c r="F854"/>
  <c r="F852"/>
  <c r="F848"/>
  <c r="E849"/>
  <c r="E855"/>
  <c r="L235" i="11"/>
  <c r="P230"/>
  <c r="O230"/>
  <c r="U1548" i="46" s="1"/>
  <c r="A2" i="41"/>
  <c r="K60" i="6"/>
  <c r="K969" i="46" s="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49" i="46"/>
  <c r="G855"/>
  <c r="H854"/>
  <c r="H852"/>
  <c r="H848"/>
  <c r="I846"/>
  <c r="H847"/>
  <c r="I203" i="11"/>
  <c r="O163" i="15"/>
  <c r="B39" i="8"/>
  <c r="B843" i="46" s="1"/>
  <c r="B96" i="8"/>
  <c r="B900" i="46" s="1"/>
  <c r="B95" i="8"/>
  <c r="B899" i="46" s="1"/>
  <c r="B67" i="8"/>
  <c r="B871" i="46" s="1"/>
  <c r="B66" i="8"/>
  <c r="B870" i="46" s="1"/>
  <c r="I87" i="8"/>
  <c r="E87"/>
  <c r="E891" i="46" s="1"/>
  <c r="K58" i="8"/>
  <c r="K862" i="46" s="1"/>
  <c r="D58" i="8"/>
  <c r="D862" i="46" s="1"/>
  <c r="C58" i="8"/>
  <c r="C862" i="46" s="1"/>
  <c r="K29" i="8"/>
  <c r="K833" i="46" s="1"/>
  <c r="J29" i="8"/>
  <c r="J833" i="46" s="1"/>
  <c r="I29" i="8"/>
  <c r="H29"/>
  <c r="G29"/>
  <c r="G833" i="46" s="1"/>
  <c r="F29" i="8"/>
  <c r="E29"/>
  <c r="E833" i="46" s="1"/>
  <c r="D29" i="8"/>
  <c r="D833" i="46" s="1"/>
  <c r="K84" i="8"/>
  <c r="K888" i="46" s="1"/>
  <c r="I84" i="8"/>
  <c r="I888" i="46" s="1"/>
  <c r="E84" i="8"/>
  <c r="E888"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B873"/>
  <c r="C873"/>
  <c r="D873"/>
  <c r="E873"/>
  <c r="F873"/>
  <c r="G873"/>
  <c r="H873"/>
  <c r="I873"/>
  <c r="J873"/>
  <c r="K873"/>
  <c r="K67" i="8"/>
  <c r="K871" i="46" s="1"/>
  <c r="K66" i="8"/>
  <c r="K870" i="46" s="1"/>
  <c r="D37" i="8"/>
  <c r="D841" i="46" s="1"/>
  <c r="E37" i="8"/>
  <c r="E841" i="46" s="1"/>
  <c r="F37" i="8"/>
  <c r="F841" i="46" s="1"/>
  <c r="G37" i="8"/>
  <c r="G841" i="46" s="1"/>
  <c r="H37" i="8"/>
  <c r="H841" i="46" s="1"/>
  <c r="I37" i="8"/>
  <c r="I841" i="46" s="1"/>
  <c r="J37" i="8"/>
  <c r="J841" i="46" s="1"/>
  <c r="K37" i="8"/>
  <c r="K841" i="46" s="1"/>
  <c r="D38" i="8"/>
  <c r="D842" i="46"/>
  <c r="E38" i="8"/>
  <c r="E842" i="46" s="1"/>
  <c r="F38" i="8"/>
  <c r="F842" i="46"/>
  <c r="G38" i="8"/>
  <c r="G842" i="46" s="1"/>
  <c r="H38" i="8"/>
  <c r="H842" i="46" s="1"/>
  <c r="I38" i="8"/>
  <c r="I842" i="46" s="1"/>
  <c r="J38" i="8"/>
  <c r="J842" i="46" s="1"/>
  <c r="K38" i="8"/>
  <c r="K842" i="46" s="1"/>
  <c r="G844"/>
  <c r="H844"/>
  <c r="I844"/>
  <c r="J844"/>
  <c r="K844"/>
  <c r="C38" i="8"/>
  <c r="C842" i="46" s="1"/>
  <c r="C37" i="8"/>
  <c r="C841" i="46" s="1"/>
  <c r="B844"/>
  <c r="B38" i="8"/>
  <c r="B842" i="46" s="1"/>
  <c r="B37" i="8"/>
  <c r="B841" i="46" s="1"/>
  <c r="B36" i="8"/>
  <c r="B840" i="46" s="1"/>
  <c r="W136" i="15"/>
  <c r="N173" i="11"/>
  <c r="N167"/>
  <c r="N140"/>
  <c r="N61"/>
  <c r="I854" i="46"/>
  <c r="I852"/>
  <c r="I848"/>
  <c r="J846"/>
  <c r="I847"/>
  <c r="H849"/>
  <c r="M6" i="11"/>
  <c r="P241"/>
  <c r="O241"/>
  <c r="U1559" i="46"/>
  <c r="I849"/>
  <c r="I855"/>
  <c r="J847"/>
  <c r="J854"/>
  <c r="J852"/>
  <c r="J848"/>
  <c r="K846"/>
  <c r="K52" i="6"/>
  <c r="K961" i="46" s="1"/>
  <c r="K49" i="6"/>
  <c r="K958" i="46" s="1"/>
  <c r="K51" i="6"/>
  <c r="K960" i="46" s="1"/>
  <c r="K48" i="6"/>
  <c r="M48" s="1"/>
  <c r="K50"/>
  <c r="K959" i="46" s="1"/>
  <c r="B875"/>
  <c r="K852"/>
  <c r="K848"/>
  <c r="K847"/>
  <c r="K854"/>
  <c r="J849"/>
  <c r="M49" i="6"/>
  <c r="M51"/>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3"/>
  <c r="K887" i="46" s="1"/>
  <c r="J83" i="8"/>
  <c r="J887" i="46" s="1"/>
  <c r="I83" i="8"/>
  <c r="I887" i="46" s="1"/>
  <c r="H83" i="8"/>
  <c r="H887" i="46" s="1"/>
  <c r="G83" i="8"/>
  <c r="G887" i="46" s="1"/>
  <c r="F83" i="8"/>
  <c r="F887" i="46" s="1"/>
  <c r="E83" i="8"/>
  <c r="E887" i="46" s="1"/>
  <c r="D83" i="8"/>
  <c r="D887" i="46" s="1"/>
  <c r="C83" i="8"/>
  <c r="C887" i="46" s="1"/>
  <c r="B83" i="8"/>
  <c r="B887" i="46" s="1"/>
  <c r="K886"/>
  <c r="J886"/>
  <c r="I886"/>
  <c r="H886"/>
  <c r="G886"/>
  <c r="F886"/>
  <c r="E886"/>
  <c r="D886"/>
  <c r="C886"/>
  <c r="B886"/>
  <c r="K54" i="8"/>
  <c r="K858" i="46" s="1"/>
  <c r="J54" i="8"/>
  <c r="J858" i="46" s="1"/>
  <c r="I54" i="8"/>
  <c r="I858" i="46" s="1"/>
  <c r="H54" i="8"/>
  <c r="H858" i="46" s="1"/>
  <c r="G54" i="8"/>
  <c r="G858" i="46" s="1"/>
  <c r="F54" i="8"/>
  <c r="F858" i="46" s="1"/>
  <c r="E54" i="8"/>
  <c r="E858" i="46" s="1"/>
  <c r="D54" i="8"/>
  <c r="D858" i="46" s="1"/>
  <c r="C54" i="8"/>
  <c r="C858" i="46" s="1"/>
  <c r="B54" i="8"/>
  <c r="B858" i="46" s="1"/>
  <c r="K857"/>
  <c r="J857"/>
  <c r="I857"/>
  <c r="H857"/>
  <c r="G857"/>
  <c r="F857"/>
  <c r="E857"/>
  <c r="D857"/>
  <c r="C857"/>
  <c r="B857"/>
  <c r="K25" i="8"/>
  <c r="K829" i="46" s="1"/>
  <c r="J25" i="8"/>
  <c r="J829" i="46" s="1"/>
  <c r="I25" i="8"/>
  <c r="I829" i="46" s="1"/>
  <c r="H25" i="8"/>
  <c r="H829" i="46" s="1"/>
  <c r="G25" i="8"/>
  <c r="G829" i="46" s="1"/>
  <c r="F25" i="8"/>
  <c r="F829" i="46" s="1"/>
  <c r="E25" i="8"/>
  <c r="E829" i="46" s="1"/>
  <c r="D25" i="8"/>
  <c r="D829" i="46" s="1"/>
  <c r="C25" i="8"/>
  <c r="C829" i="46" s="1"/>
  <c r="K828"/>
  <c r="J828"/>
  <c r="I828"/>
  <c r="H828"/>
  <c r="G828"/>
  <c r="F828"/>
  <c r="E828"/>
  <c r="D828"/>
  <c r="C828"/>
  <c r="P124" i="15"/>
  <c r="P77"/>
  <c r="P64"/>
  <c r="P144"/>
  <c r="P148" s="1"/>
  <c r="M58" i="36"/>
  <c r="M60"/>
  <c r="BY12"/>
  <c r="BY14"/>
  <c r="BY48"/>
  <c r="H94"/>
  <c r="CD12"/>
  <c r="CD14"/>
  <c r="CD48"/>
  <c r="H95"/>
  <c r="H96"/>
  <c r="BZ12"/>
  <c r="BZ14"/>
  <c r="BZ48"/>
  <c r="I94"/>
  <c r="CE12"/>
  <c r="CE14"/>
  <c r="CE48"/>
  <c r="I95"/>
  <c r="I96"/>
  <c r="CA12"/>
  <c r="CA14"/>
  <c r="CA48"/>
  <c r="J94"/>
  <c r="CF12"/>
  <c r="CF14"/>
  <c r="CF48"/>
  <c r="J95"/>
  <c r="J96"/>
  <c r="CB12"/>
  <c r="CB14"/>
  <c r="CB48"/>
  <c r="K94"/>
  <c r="CG12"/>
  <c r="CG14"/>
  <c r="CG48"/>
  <c r="K95"/>
  <c r="K96"/>
  <c r="CC12"/>
  <c r="CC14"/>
  <c r="CC48"/>
  <c r="L94"/>
  <c r="CH12"/>
  <c r="CH14"/>
  <c r="CH48"/>
  <c r="L95"/>
  <c r="L96"/>
  <c r="M96"/>
  <c r="CN12"/>
  <c r="CN14"/>
  <c r="CN48"/>
  <c r="H97"/>
  <c r="H98"/>
  <c r="CO12"/>
  <c r="CO14"/>
  <c r="CO48"/>
  <c r="I97"/>
  <c r="I98"/>
  <c r="CP12"/>
  <c r="CP14"/>
  <c r="CP48"/>
  <c r="J97"/>
  <c r="J98"/>
  <c r="CQ12"/>
  <c r="CQ14"/>
  <c r="CQ48"/>
  <c r="K97"/>
  <c r="K98"/>
  <c r="CR12"/>
  <c r="CR14"/>
  <c r="CR48"/>
  <c r="L97"/>
  <c r="L98"/>
  <c r="M98"/>
  <c r="P152" i="15"/>
  <c r="J144"/>
  <c r="J148"/>
  <c r="J149"/>
  <c r="J151"/>
  <c r="J152"/>
  <c r="J153" s="1"/>
  <c r="J155" s="1"/>
  <c r="M152"/>
  <c r="B883" i="46"/>
  <c r="B881"/>
  <c r="B877"/>
  <c r="C875"/>
  <c r="B876"/>
  <c r="K849"/>
  <c r="K855"/>
  <c r="Q16" i="36"/>
  <c r="Q650" i="46" s="1"/>
  <c r="Q17" i="36"/>
  <c r="Q651" i="46" s="1"/>
  <c r="Q18" i="36"/>
  <c r="Q652" i="46" s="1"/>
  <c r="Q19" i="36"/>
  <c r="Q653" i="46" s="1"/>
  <c r="Q20" i="36"/>
  <c r="Q654" i="46"/>
  <c r="Q21" i="36"/>
  <c r="Q655" i="46" s="1"/>
  <c r="Q22" i="36"/>
  <c r="Q656" i="46"/>
  <c r="Q23" i="36"/>
  <c r="Q657" i="46" s="1"/>
  <c r="Q24" i="36"/>
  <c r="Q658" i="46" s="1"/>
  <c r="Q25" i="36"/>
  <c r="Q659" i="46" s="1"/>
  <c r="Q26" i="36"/>
  <c r="Q660" i="46" s="1"/>
  <c r="Q27" i="36"/>
  <c r="Q661" i="46" s="1"/>
  <c r="Q28" i="36"/>
  <c r="Q662" i="46"/>
  <c r="Q29" i="36"/>
  <c r="Q663" i="46" s="1"/>
  <c r="Q30" i="36"/>
  <c r="Q664" i="46"/>
  <c r="Q31" i="36"/>
  <c r="Q665" i="46" s="1"/>
  <c r="Q32" i="36"/>
  <c r="Q666" i="46" s="1"/>
  <c r="Q33" i="36"/>
  <c r="Q667" i="46" s="1"/>
  <c r="Q34" i="36"/>
  <c r="Q668" i="46" s="1"/>
  <c r="Q35" i="36"/>
  <c r="Q669" i="46" s="1"/>
  <c r="Q36" i="36"/>
  <c r="Q670" i="46"/>
  <c r="Q37" i="36"/>
  <c r="Q671" i="46" s="1"/>
  <c r="Q38" i="36"/>
  <c r="Q672" i="46"/>
  <c r="Q39" i="36"/>
  <c r="Q673" i="46" s="1"/>
  <c r="Q40" i="36"/>
  <c r="Q674" i="46" s="1"/>
  <c r="Q41" i="36"/>
  <c r="Q675" i="46" s="1"/>
  <c r="Q42" i="36"/>
  <c r="Q676" i="46" s="1"/>
  <c r="Q43" i="36"/>
  <c r="Q677" i="46" s="1"/>
  <c r="Q44" i="36"/>
  <c r="Q678" i="46"/>
  <c r="Q45" i="36"/>
  <c r="Q679" i="46" s="1"/>
  <c r="Q46" i="36"/>
  <c r="Q680" i="46"/>
  <c r="Q47" i="36"/>
  <c r="Q681" i="46" s="1"/>
  <c r="O46" i="15"/>
  <c r="M17"/>
  <c r="O8" i="11"/>
  <c r="U1326" i="46"/>
  <c r="O150" i="11"/>
  <c r="U1468" i="46"/>
  <c r="O344" i="11"/>
  <c r="L344" s="1"/>
  <c r="U1662" i="46"/>
  <c r="G116" i="15"/>
  <c r="D393" i="46"/>
  <c r="I17" i="29"/>
  <c r="J124" i="15"/>
  <c r="J17"/>
  <c r="J27"/>
  <c r="J64"/>
  <c r="J77"/>
  <c r="J83"/>
  <c r="J116"/>
  <c r="J128"/>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7"/>
  <c r="P27"/>
  <c r="P83"/>
  <c r="P116"/>
  <c r="P128"/>
  <c r="V11" i="36"/>
  <c r="V13"/>
  <c r="V15"/>
  <c r="V16"/>
  <c r="V17"/>
  <c r="V19"/>
  <c r="V20"/>
  <c r="V21"/>
  <c r="V22"/>
  <c r="V23"/>
  <c r="V24"/>
  <c r="V25"/>
  <c r="V26"/>
  <c r="V27"/>
  <c r="V28"/>
  <c r="V29"/>
  <c r="V30"/>
  <c r="V31"/>
  <c r="V32"/>
  <c r="V33"/>
  <c r="V34"/>
  <c r="V35"/>
  <c r="V36"/>
  <c r="V37"/>
  <c r="V38"/>
  <c r="V39"/>
  <c r="V40"/>
  <c r="V41"/>
  <c r="V42"/>
  <c r="V43"/>
  <c r="V44"/>
  <c r="V45"/>
  <c r="V46"/>
  <c r="AA11"/>
  <c r="AA13"/>
  <c r="AA15"/>
  <c r="AA16"/>
  <c r="AA17"/>
  <c r="AA19"/>
  <c r="AA20"/>
  <c r="AA21"/>
  <c r="AA22"/>
  <c r="AA23"/>
  <c r="AA24"/>
  <c r="AA25"/>
  <c r="AA26"/>
  <c r="AA27"/>
  <c r="AA28"/>
  <c r="AA29"/>
  <c r="AA30"/>
  <c r="AA31"/>
  <c r="AA32"/>
  <c r="AA33"/>
  <c r="AA34"/>
  <c r="AA35"/>
  <c r="AA36"/>
  <c r="AA37"/>
  <c r="AA38"/>
  <c r="AA39"/>
  <c r="AA40"/>
  <c r="AA41"/>
  <c r="AA42"/>
  <c r="AA43"/>
  <c r="AA44"/>
  <c r="AA45"/>
  <c r="AA46"/>
  <c r="W11"/>
  <c r="W13"/>
  <c r="W15"/>
  <c r="W16"/>
  <c r="W17"/>
  <c r="W19"/>
  <c r="W20"/>
  <c r="W21"/>
  <c r="W22"/>
  <c r="W23"/>
  <c r="W24"/>
  <c r="W25"/>
  <c r="W26"/>
  <c r="W27"/>
  <c r="W28"/>
  <c r="W29"/>
  <c r="W30"/>
  <c r="W31"/>
  <c r="W32"/>
  <c r="W33"/>
  <c r="W34"/>
  <c r="W35"/>
  <c r="W36"/>
  <c r="W37"/>
  <c r="W38"/>
  <c r="W39"/>
  <c r="W40"/>
  <c r="W41"/>
  <c r="W42"/>
  <c r="W43"/>
  <c r="W44"/>
  <c r="W45"/>
  <c r="W46"/>
  <c r="AB11"/>
  <c r="AB13"/>
  <c r="AB15"/>
  <c r="AB16"/>
  <c r="AB17"/>
  <c r="AB19"/>
  <c r="AB20"/>
  <c r="AB21"/>
  <c r="AB22"/>
  <c r="AB23"/>
  <c r="AB24"/>
  <c r="AB25"/>
  <c r="AB26"/>
  <c r="AB27"/>
  <c r="AB28"/>
  <c r="AB29"/>
  <c r="AB30"/>
  <c r="AB31"/>
  <c r="AB32"/>
  <c r="AB33"/>
  <c r="AB34"/>
  <c r="AB35"/>
  <c r="AB36"/>
  <c r="AB37"/>
  <c r="AB38"/>
  <c r="AB39"/>
  <c r="AB40"/>
  <c r="AB41"/>
  <c r="AB42"/>
  <c r="AB43"/>
  <c r="AB44"/>
  <c r="AB45"/>
  <c r="AB46"/>
  <c r="X11"/>
  <c r="X13"/>
  <c r="X15"/>
  <c r="X16"/>
  <c r="X17"/>
  <c r="X19"/>
  <c r="X20"/>
  <c r="X21"/>
  <c r="X22"/>
  <c r="X23"/>
  <c r="X24"/>
  <c r="X25"/>
  <c r="X26"/>
  <c r="X27"/>
  <c r="X28"/>
  <c r="X29"/>
  <c r="X30"/>
  <c r="X31"/>
  <c r="X32"/>
  <c r="X33"/>
  <c r="X34"/>
  <c r="X35"/>
  <c r="X36"/>
  <c r="X37"/>
  <c r="X38"/>
  <c r="X39"/>
  <c r="X40"/>
  <c r="X41"/>
  <c r="X42"/>
  <c r="X43"/>
  <c r="X44"/>
  <c r="X45"/>
  <c r="X46"/>
  <c r="AC11"/>
  <c r="AC13"/>
  <c r="AC15"/>
  <c r="AC16"/>
  <c r="AC17"/>
  <c r="AC19"/>
  <c r="AC20"/>
  <c r="AC21"/>
  <c r="AC22"/>
  <c r="AC23"/>
  <c r="AC24"/>
  <c r="AC25"/>
  <c r="AC26"/>
  <c r="AC27"/>
  <c r="AC28"/>
  <c r="AC29"/>
  <c r="AC30"/>
  <c r="AC31"/>
  <c r="AC32"/>
  <c r="AC33"/>
  <c r="AC34"/>
  <c r="AC35"/>
  <c r="AC36"/>
  <c r="AC37"/>
  <c r="AC38"/>
  <c r="AC39"/>
  <c r="AC40"/>
  <c r="AC41"/>
  <c r="AC42"/>
  <c r="AC43"/>
  <c r="AC44"/>
  <c r="AC45"/>
  <c r="AC46"/>
  <c r="Y11"/>
  <c r="Y13"/>
  <c r="Y15"/>
  <c r="Y16"/>
  <c r="Y17"/>
  <c r="Y19"/>
  <c r="Y20"/>
  <c r="Y21"/>
  <c r="Y22"/>
  <c r="Y23"/>
  <c r="Y24"/>
  <c r="Y25"/>
  <c r="Y26"/>
  <c r="Y27"/>
  <c r="Y28"/>
  <c r="Y29"/>
  <c r="Y30"/>
  <c r="Y31"/>
  <c r="Y32"/>
  <c r="Y33"/>
  <c r="Y34"/>
  <c r="Y35"/>
  <c r="Y36"/>
  <c r="Y37"/>
  <c r="Y38"/>
  <c r="Y39"/>
  <c r="Y40"/>
  <c r="Y41"/>
  <c r="Y42"/>
  <c r="Y43"/>
  <c r="Y44"/>
  <c r="Y45"/>
  <c r="Y46"/>
  <c r="AD11"/>
  <c r="AD13"/>
  <c r="AD15"/>
  <c r="AD16"/>
  <c r="AD17"/>
  <c r="AD19"/>
  <c r="AD20"/>
  <c r="AD21"/>
  <c r="AD22"/>
  <c r="AD23"/>
  <c r="AD24"/>
  <c r="AD25"/>
  <c r="AD26"/>
  <c r="AD27"/>
  <c r="AD28"/>
  <c r="AD29"/>
  <c r="AD30"/>
  <c r="AD31"/>
  <c r="AD32"/>
  <c r="AD33"/>
  <c r="AD34"/>
  <c r="AD35"/>
  <c r="AD36"/>
  <c r="AD37"/>
  <c r="AD38"/>
  <c r="AD39"/>
  <c r="AD40"/>
  <c r="AD41"/>
  <c r="AD42"/>
  <c r="AD43"/>
  <c r="AD44"/>
  <c r="AD45"/>
  <c r="AD46"/>
  <c r="Z11"/>
  <c r="Z13"/>
  <c r="Z15"/>
  <c r="Z16"/>
  <c r="Z17"/>
  <c r="Z19"/>
  <c r="Z20"/>
  <c r="Z21"/>
  <c r="Z22"/>
  <c r="Z23"/>
  <c r="Z24"/>
  <c r="Z25"/>
  <c r="Z26"/>
  <c r="Z27"/>
  <c r="Z28"/>
  <c r="Z29"/>
  <c r="Z30"/>
  <c r="Z31"/>
  <c r="Z32"/>
  <c r="Z33"/>
  <c r="Z34"/>
  <c r="Z35"/>
  <c r="Z36"/>
  <c r="Z37"/>
  <c r="Z38"/>
  <c r="Z39"/>
  <c r="Z40"/>
  <c r="Z41"/>
  <c r="Z42"/>
  <c r="Z43"/>
  <c r="Z44"/>
  <c r="Z45"/>
  <c r="Z46"/>
  <c r="AE11"/>
  <c r="AE13"/>
  <c r="AE15"/>
  <c r="AE16"/>
  <c r="AE17"/>
  <c r="AE19"/>
  <c r="AE20"/>
  <c r="AE21"/>
  <c r="AE22"/>
  <c r="AE23"/>
  <c r="AE24"/>
  <c r="AE25"/>
  <c r="AE26"/>
  <c r="AE27"/>
  <c r="AE28"/>
  <c r="AE29"/>
  <c r="AE30"/>
  <c r="AE31"/>
  <c r="AE32"/>
  <c r="AE33"/>
  <c r="AE34"/>
  <c r="AE35"/>
  <c r="AE36"/>
  <c r="AE37"/>
  <c r="AE38"/>
  <c r="AE39"/>
  <c r="AE40"/>
  <c r="AE41"/>
  <c r="AE42"/>
  <c r="AE43"/>
  <c r="AE44"/>
  <c r="AE45"/>
  <c r="AE46"/>
  <c r="AK11"/>
  <c r="AK13"/>
  <c r="AK15"/>
  <c r="AK16"/>
  <c r="AK17"/>
  <c r="AK19"/>
  <c r="AK20"/>
  <c r="AK21"/>
  <c r="AK22"/>
  <c r="AK23"/>
  <c r="AK24"/>
  <c r="AK25"/>
  <c r="AK26"/>
  <c r="AK27"/>
  <c r="AK28"/>
  <c r="AK29"/>
  <c r="AK30"/>
  <c r="AK31"/>
  <c r="AK32"/>
  <c r="AK33"/>
  <c r="AK34"/>
  <c r="AK35"/>
  <c r="AK36"/>
  <c r="AK37"/>
  <c r="AK38"/>
  <c r="AK39"/>
  <c r="AK40"/>
  <c r="AK41"/>
  <c r="AK42"/>
  <c r="AK43"/>
  <c r="AK44"/>
  <c r="AK45"/>
  <c r="AK46"/>
  <c r="AL11"/>
  <c r="AL13"/>
  <c r="AL15"/>
  <c r="AL16"/>
  <c r="AL17"/>
  <c r="AL19"/>
  <c r="AL20"/>
  <c r="AL21"/>
  <c r="AL22"/>
  <c r="AL23"/>
  <c r="AL24"/>
  <c r="AL25"/>
  <c r="AL26"/>
  <c r="AL27"/>
  <c r="AL28"/>
  <c r="AL29"/>
  <c r="AL30"/>
  <c r="AL31"/>
  <c r="AL32"/>
  <c r="AL33"/>
  <c r="AL34"/>
  <c r="AL35"/>
  <c r="AL36"/>
  <c r="AL37"/>
  <c r="AL38"/>
  <c r="AL39"/>
  <c r="AL40"/>
  <c r="AL41"/>
  <c r="AL42"/>
  <c r="AL43"/>
  <c r="AL44"/>
  <c r="AL45"/>
  <c r="AL46"/>
  <c r="AM11"/>
  <c r="AM13"/>
  <c r="AM15"/>
  <c r="AM16"/>
  <c r="AM17"/>
  <c r="AM19"/>
  <c r="AM20"/>
  <c r="AM21"/>
  <c r="AM22"/>
  <c r="AM23"/>
  <c r="AM24"/>
  <c r="AM25"/>
  <c r="AM26"/>
  <c r="AM27"/>
  <c r="AM28"/>
  <c r="AM29"/>
  <c r="AM30"/>
  <c r="AM31"/>
  <c r="AM32"/>
  <c r="AM33"/>
  <c r="AM34"/>
  <c r="AM35"/>
  <c r="AM36"/>
  <c r="AM37"/>
  <c r="AM38"/>
  <c r="AM39"/>
  <c r="AM40"/>
  <c r="AM41"/>
  <c r="AM42"/>
  <c r="AM43"/>
  <c r="AM44"/>
  <c r="AM45"/>
  <c r="AM46"/>
  <c r="AN11"/>
  <c r="AN13"/>
  <c r="AN15"/>
  <c r="AN16"/>
  <c r="AN17"/>
  <c r="AN19"/>
  <c r="AN20"/>
  <c r="AN21"/>
  <c r="AN22"/>
  <c r="AN23"/>
  <c r="AN24"/>
  <c r="AN25"/>
  <c r="AN26"/>
  <c r="AN27"/>
  <c r="AN28"/>
  <c r="AN29"/>
  <c r="AN30"/>
  <c r="AN31"/>
  <c r="AN32"/>
  <c r="AN33"/>
  <c r="AN34"/>
  <c r="AN35"/>
  <c r="AN36"/>
  <c r="AN37"/>
  <c r="AN38"/>
  <c r="AN39"/>
  <c r="AN40"/>
  <c r="AN41"/>
  <c r="AN42"/>
  <c r="AN43"/>
  <c r="AN44"/>
  <c r="AN45"/>
  <c r="AN46"/>
  <c r="AO11"/>
  <c r="AO13"/>
  <c r="AO15"/>
  <c r="AO16"/>
  <c r="AO17"/>
  <c r="AO19"/>
  <c r="AO20"/>
  <c r="AO21"/>
  <c r="AO22"/>
  <c r="AO23"/>
  <c r="AO24"/>
  <c r="AO25"/>
  <c r="AO26"/>
  <c r="AO27"/>
  <c r="AO28"/>
  <c r="AO29"/>
  <c r="AO30"/>
  <c r="AO31"/>
  <c r="AO32"/>
  <c r="AO33"/>
  <c r="AO34"/>
  <c r="AO35"/>
  <c r="AO36"/>
  <c r="AO37"/>
  <c r="AO38"/>
  <c r="AO39"/>
  <c r="AO40"/>
  <c r="AO41"/>
  <c r="AO42"/>
  <c r="AO43"/>
  <c r="AO44"/>
  <c r="AO45"/>
  <c r="AO46"/>
  <c r="BY11"/>
  <c r="BY13"/>
  <c r="BY15"/>
  <c r="BY16"/>
  <c r="BY17"/>
  <c r="BY19"/>
  <c r="BY20"/>
  <c r="BY21"/>
  <c r="BY22"/>
  <c r="BY23"/>
  <c r="BY24"/>
  <c r="BY25"/>
  <c r="BY26"/>
  <c r="BY27"/>
  <c r="BY28"/>
  <c r="BY29"/>
  <c r="BY30"/>
  <c r="BY31"/>
  <c r="BY32"/>
  <c r="BY33"/>
  <c r="BY34"/>
  <c r="BY35"/>
  <c r="BY36"/>
  <c r="BY37"/>
  <c r="BY38"/>
  <c r="BY39"/>
  <c r="BY40"/>
  <c r="BY41"/>
  <c r="BY42"/>
  <c r="BY43"/>
  <c r="BY44"/>
  <c r="BY45"/>
  <c r="BY46"/>
  <c r="CD11"/>
  <c r="CD13"/>
  <c r="CD15"/>
  <c r="CD16"/>
  <c r="CD17"/>
  <c r="CD19"/>
  <c r="CD20"/>
  <c r="CD21"/>
  <c r="CD22"/>
  <c r="CD23"/>
  <c r="CD24"/>
  <c r="CD25"/>
  <c r="CD26"/>
  <c r="CD27"/>
  <c r="CD28"/>
  <c r="CD29"/>
  <c r="CD30"/>
  <c r="CD31"/>
  <c r="CD32"/>
  <c r="CD33"/>
  <c r="CD34"/>
  <c r="CD35"/>
  <c r="CD36"/>
  <c r="CD37"/>
  <c r="CD38"/>
  <c r="CD39"/>
  <c r="CD40"/>
  <c r="CD41"/>
  <c r="CD42"/>
  <c r="CD43"/>
  <c r="CD44"/>
  <c r="CD45"/>
  <c r="CD46"/>
  <c r="BZ11"/>
  <c r="BZ13"/>
  <c r="BZ15"/>
  <c r="BZ16"/>
  <c r="BZ17"/>
  <c r="BZ19"/>
  <c r="BZ20"/>
  <c r="BZ21"/>
  <c r="BZ22"/>
  <c r="BZ23"/>
  <c r="BZ24"/>
  <c r="BZ25"/>
  <c r="BZ26"/>
  <c r="BZ27"/>
  <c r="BZ28"/>
  <c r="BZ29"/>
  <c r="BZ30"/>
  <c r="BZ31"/>
  <c r="BZ32"/>
  <c r="BZ33"/>
  <c r="BZ34"/>
  <c r="BZ35"/>
  <c r="BZ36"/>
  <c r="BZ37"/>
  <c r="BZ38"/>
  <c r="BZ39"/>
  <c r="BZ40"/>
  <c r="BZ41"/>
  <c r="BZ42"/>
  <c r="BZ43"/>
  <c r="BZ44"/>
  <c r="BZ45"/>
  <c r="BZ46"/>
  <c r="CE11"/>
  <c r="CE13"/>
  <c r="CE15"/>
  <c r="CE16"/>
  <c r="CE17"/>
  <c r="CE19"/>
  <c r="CE20"/>
  <c r="CE21"/>
  <c r="CE22"/>
  <c r="CE23"/>
  <c r="CE24"/>
  <c r="CE25"/>
  <c r="CE26"/>
  <c r="CE27"/>
  <c r="CE28"/>
  <c r="CE29"/>
  <c r="CE30"/>
  <c r="CE31"/>
  <c r="CE32"/>
  <c r="CE33"/>
  <c r="CE34"/>
  <c r="CE35"/>
  <c r="CE36"/>
  <c r="CE37"/>
  <c r="CE38"/>
  <c r="CE39"/>
  <c r="CE40"/>
  <c r="CE41"/>
  <c r="CE42"/>
  <c r="CE43"/>
  <c r="CE44"/>
  <c r="CE45"/>
  <c r="CE46"/>
  <c r="CA11"/>
  <c r="CA13"/>
  <c r="CA15"/>
  <c r="CA16"/>
  <c r="CA17"/>
  <c r="CA19"/>
  <c r="CA20"/>
  <c r="CA21"/>
  <c r="CA22"/>
  <c r="CA23"/>
  <c r="CA24"/>
  <c r="CA25"/>
  <c r="CA26"/>
  <c r="CA27"/>
  <c r="CA28"/>
  <c r="CA29"/>
  <c r="CA30"/>
  <c r="CA31"/>
  <c r="CA32"/>
  <c r="CA33"/>
  <c r="CA34"/>
  <c r="CA35"/>
  <c r="CA36"/>
  <c r="CA37"/>
  <c r="CA38"/>
  <c r="CA39"/>
  <c r="CA40"/>
  <c r="CA41"/>
  <c r="CA42"/>
  <c r="CA43"/>
  <c r="CA44"/>
  <c r="CA45"/>
  <c r="CA46"/>
  <c r="CF11"/>
  <c r="CF13"/>
  <c r="CF15"/>
  <c r="CF16"/>
  <c r="CF17"/>
  <c r="CF19"/>
  <c r="CF20"/>
  <c r="CF21"/>
  <c r="CF22"/>
  <c r="CF23"/>
  <c r="CF24"/>
  <c r="CF25"/>
  <c r="CF26"/>
  <c r="CF27"/>
  <c r="CF28"/>
  <c r="CF29"/>
  <c r="CF30"/>
  <c r="CF31"/>
  <c r="CF32"/>
  <c r="CF33"/>
  <c r="CF34"/>
  <c r="CF35"/>
  <c r="CF36"/>
  <c r="CF37"/>
  <c r="CF38"/>
  <c r="CF39"/>
  <c r="CF40"/>
  <c r="CF41"/>
  <c r="CF42"/>
  <c r="CF43"/>
  <c r="CF44"/>
  <c r="CF45"/>
  <c r="CF46"/>
  <c r="CB11"/>
  <c r="CB13"/>
  <c r="CB15"/>
  <c r="CB16"/>
  <c r="CB17"/>
  <c r="CB19"/>
  <c r="CB20"/>
  <c r="CB21"/>
  <c r="CB22"/>
  <c r="CB23"/>
  <c r="CB24"/>
  <c r="CB25"/>
  <c r="CB26"/>
  <c r="CB27"/>
  <c r="CB28"/>
  <c r="CB29"/>
  <c r="CB30"/>
  <c r="CB31"/>
  <c r="CB32"/>
  <c r="CB33"/>
  <c r="CB34"/>
  <c r="CB35"/>
  <c r="CB36"/>
  <c r="CB37"/>
  <c r="CB38"/>
  <c r="CB39"/>
  <c r="CB40"/>
  <c r="CB41"/>
  <c r="CB42"/>
  <c r="CB43"/>
  <c r="CB44"/>
  <c r="CB45"/>
  <c r="CB46"/>
  <c r="CG11"/>
  <c r="CG13"/>
  <c r="CG15"/>
  <c r="CG16"/>
  <c r="CG17"/>
  <c r="CG19"/>
  <c r="CG20"/>
  <c r="CG21"/>
  <c r="CG22"/>
  <c r="CG23"/>
  <c r="CG24"/>
  <c r="CG25"/>
  <c r="CG26"/>
  <c r="CG27"/>
  <c r="CG28"/>
  <c r="CG29"/>
  <c r="CG30"/>
  <c r="CG31"/>
  <c r="CG32"/>
  <c r="CG33"/>
  <c r="CG34"/>
  <c r="CG35"/>
  <c r="CG36"/>
  <c r="CG37"/>
  <c r="CG38"/>
  <c r="CG39"/>
  <c r="CG40"/>
  <c r="CG41"/>
  <c r="CG42"/>
  <c r="CG43"/>
  <c r="CG44"/>
  <c r="CG45"/>
  <c r="CG46"/>
  <c r="CC11"/>
  <c r="CC13"/>
  <c r="CC15"/>
  <c r="CC16"/>
  <c r="CC17"/>
  <c r="CC19"/>
  <c r="CC20"/>
  <c r="CC21"/>
  <c r="CC22"/>
  <c r="CC23"/>
  <c r="CC24"/>
  <c r="CC25"/>
  <c r="CC26"/>
  <c r="CC27"/>
  <c r="CC28"/>
  <c r="CC29"/>
  <c r="CC30"/>
  <c r="CC31"/>
  <c r="CC32"/>
  <c r="CC33"/>
  <c r="CC34"/>
  <c r="CC35"/>
  <c r="CC36"/>
  <c r="CC37"/>
  <c r="CC38"/>
  <c r="CC39"/>
  <c r="CC40"/>
  <c r="CC41"/>
  <c r="CC42"/>
  <c r="CC43"/>
  <c r="CC44"/>
  <c r="CC45"/>
  <c r="CC46"/>
  <c r="CH11"/>
  <c r="CH13"/>
  <c r="CH15"/>
  <c r="CH16"/>
  <c r="CH17"/>
  <c r="CH19"/>
  <c r="CH20"/>
  <c r="CH21"/>
  <c r="CH22"/>
  <c r="CH23"/>
  <c r="CH24"/>
  <c r="CH25"/>
  <c r="CH26"/>
  <c r="CH27"/>
  <c r="CH28"/>
  <c r="CH29"/>
  <c r="CH30"/>
  <c r="CH31"/>
  <c r="CH32"/>
  <c r="CH33"/>
  <c r="CH34"/>
  <c r="CH35"/>
  <c r="CH36"/>
  <c r="CH37"/>
  <c r="CH38"/>
  <c r="CH39"/>
  <c r="CH40"/>
  <c r="CH41"/>
  <c r="CH42"/>
  <c r="CH43"/>
  <c r="CH44"/>
  <c r="CH45"/>
  <c r="CH46"/>
  <c r="CN11"/>
  <c r="CN13"/>
  <c r="CN15"/>
  <c r="CN16"/>
  <c r="CN17"/>
  <c r="CN19"/>
  <c r="CN20"/>
  <c r="CN21"/>
  <c r="CN22"/>
  <c r="CN23"/>
  <c r="CN24"/>
  <c r="CN25"/>
  <c r="CN26"/>
  <c r="CN27"/>
  <c r="CN28"/>
  <c r="CN29"/>
  <c r="CN30"/>
  <c r="CN31"/>
  <c r="CN32"/>
  <c r="CN33"/>
  <c r="CN34"/>
  <c r="CN35"/>
  <c r="CN36"/>
  <c r="CN37"/>
  <c r="CN38"/>
  <c r="CN39"/>
  <c r="CN40"/>
  <c r="CN41"/>
  <c r="CN42"/>
  <c r="CN43"/>
  <c r="CN44"/>
  <c r="CN45"/>
  <c r="CN46"/>
  <c r="CO11"/>
  <c r="CO13"/>
  <c r="CO15"/>
  <c r="CO16"/>
  <c r="CO17"/>
  <c r="CO19"/>
  <c r="CO20"/>
  <c r="CO21"/>
  <c r="CO22"/>
  <c r="CO23"/>
  <c r="CO24"/>
  <c r="CO25"/>
  <c r="CO26"/>
  <c r="CO27"/>
  <c r="CO28"/>
  <c r="CO29"/>
  <c r="CO30"/>
  <c r="CO31"/>
  <c r="CO32"/>
  <c r="CO33"/>
  <c r="CO34"/>
  <c r="CO35"/>
  <c r="CO36"/>
  <c r="CO37"/>
  <c r="CO38"/>
  <c r="CO39"/>
  <c r="CO40"/>
  <c r="CO41"/>
  <c r="CO42"/>
  <c r="CO43"/>
  <c r="CO44"/>
  <c r="CO45"/>
  <c r="CO46"/>
  <c r="CP11"/>
  <c r="CP13"/>
  <c r="CP15"/>
  <c r="CP16"/>
  <c r="CP17"/>
  <c r="CP19"/>
  <c r="CP20"/>
  <c r="CP21"/>
  <c r="CP22"/>
  <c r="CP23"/>
  <c r="CP24"/>
  <c r="CP25"/>
  <c r="CP26"/>
  <c r="CP27"/>
  <c r="CP28"/>
  <c r="CP29"/>
  <c r="CP30"/>
  <c r="CP31"/>
  <c r="CP32"/>
  <c r="CP33"/>
  <c r="CP34"/>
  <c r="CP35"/>
  <c r="CP36"/>
  <c r="CP37"/>
  <c r="CP38"/>
  <c r="CP39"/>
  <c r="CP40"/>
  <c r="CP41"/>
  <c r="CP42"/>
  <c r="CP43"/>
  <c r="CP44"/>
  <c r="CP45"/>
  <c r="CP46"/>
  <c r="CQ11"/>
  <c r="CQ13"/>
  <c r="CQ15"/>
  <c r="CQ16"/>
  <c r="CQ17"/>
  <c r="CQ19"/>
  <c r="CQ20"/>
  <c r="CQ21"/>
  <c r="CQ22"/>
  <c r="CQ23"/>
  <c r="CQ24"/>
  <c r="CQ25"/>
  <c r="CQ26"/>
  <c r="CQ27"/>
  <c r="CQ28"/>
  <c r="CQ29"/>
  <c r="CQ30"/>
  <c r="CQ31"/>
  <c r="CQ32"/>
  <c r="CQ33"/>
  <c r="CQ34"/>
  <c r="CQ35"/>
  <c r="CQ36"/>
  <c r="CQ37"/>
  <c r="CQ38"/>
  <c r="CQ39"/>
  <c r="CQ40"/>
  <c r="CQ41"/>
  <c r="CQ42"/>
  <c r="CQ43"/>
  <c r="CQ44"/>
  <c r="CQ45"/>
  <c r="CQ46"/>
  <c r="CR11"/>
  <c r="CR13"/>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23" i="15"/>
  <c r="G27"/>
  <c r="G83"/>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F35" s="1"/>
  <c r="G35" s="1"/>
  <c r="P35" s="1"/>
  <c r="P449" i="46" s="1"/>
  <c r="S17" i="15"/>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c r="A62"/>
  <c r="A91" s="1"/>
  <c r="A61"/>
  <c r="A90" s="1"/>
  <c r="A60"/>
  <c r="A89" s="1"/>
  <c r="A55"/>
  <c r="A84"/>
  <c r="A54"/>
  <c r="A83"/>
  <c r="A53"/>
  <c r="A82"/>
  <c r="A52"/>
  <c r="A81"/>
  <c r="L173" i="11"/>
  <c r="R152"/>
  <c r="R151"/>
  <c r="L218"/>
  <c r="G126"/>
  <c r="M36" i="3"/>
  <c r="C833" i="46"/>
  <c r="F833"/>
  <c r="H833"/>
  <c r="I833"/>
  <c r="B20" i="8"/>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c r="K10"/>
  <c r="L10" s="1"/>
  <c r="K11"/>
  <c r="L11"/>
  <c r="K15"/>
  <c r="L15" s="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2"/>
  <c r="C42"/>
  <c r="D42"/>
  <c r="E42"/>
  <c r="F42"/>
  <c r="G42"/>
  <c r="H42"/>
  <c r="I42"/>
  <c r="J42"/>
  <c r="K42"/>
  <c r="B71"/>
  <c r="C71"/>
  <c r="D71"/>
  <c r="E71"/>
  <c r="F71"/>
  <c r="G71"/>
  <c r="H71"/>
  <c r="I71"/>
  <c r="J71"/>
  <c r="K7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c r="J85"/>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c r="M67"/>
  <c r="L243" i="11"/>
  <c r="M68" i="46"/>
  <c r="A82" i="36"/>
  <c r="E34" i="15"/>
  <c r="E449" i="46"/>
  <c r="E448" s="1"/>
  <c r="B878"/>
  <c r="C876"/>
  <c r="C883"/>
  <c r="C881"/>
  <c r="C877"/>
  <c r="D875"/>
  <c r="C116" i="15"/>
  <c r="A1" i="36"/>
  <c r="T1" s="1"/>
  <c r="A1" i="7"/>
  <c r="A1" i="8"/>
  <c r="M1" s="1"/>
  <c r="A1" i="18"/>
  <c r="A1" i="6"/>
  <c r="A1" i="3"/>
  <c r="S1" s="1"/>
  <c r="A1" i="11"/>
  <c r="A1" i="15"/>
  <c r="W1" s="1"/>
  <c r="AQ48" i="36"/>
  <c r="AU48"/>
  <c r="H65"/>
  <c r="AY48"/>
  <c r="L65"/>
  <c r="BC48"/>
  <c r="K64"/>
  <c r="AZ48"/>
  <c r="H64"/>
  <c r="H66"/>
  <c r="F37" i="15"/>
  <c r="G37" s="1"/>
  <c r="G451" i="46" s="1"/>
  <c r="S130" i="15"/>
  <c r="M130"/>
  <c r="M147" s="1"/>
  <c r="M149" s="1"/>
  <c r="M151" s="1"/>
  <c r="M153" s="1"/>
  <c r="M155" s="1"/>
  <c r="J130"/>
  <c r="J147"/>
  <c r="GS48" i="36"/>
  <c r="AS48"/>
  <c r="CU48"/>
  <c r="GO48"/>
  <c r="BD48"/>
  <c r="L64"/>
  <c r="AW48"/>
  <c r="J65"/>
  <c r="BA48"/>
  <c r="I64"/>
  <c r="GG48"/>
  <c r="J87"/>
  <c r="CT48"/>
  <c r="CS48"/>
  <c r="CV48"/>
  <c r="AV48"/>
  <c r="I65"/>
  <c r="CW48"/>
  <c r="GI48"/>
  <c r="L87"/>
  <c r="FN48"/>
  <c r="K91"/>
  <c r="FT48"/>
  <c r="L90"/>
  <c r="FP48"/>
  <c r="H90"/>
  <c r="EX48"/>
  <c r="AX48"/>
  <c r="K65"/>
  <c r="BB48"/>
  <c r="J64"/>
  <c r="BG48"/>
  <c r="FY48"/>
  <c r="L85"/>
  <c r="FB48"/>
  <c r="I89"/>
  <c r="FH48"/>
  <c r="J92"/>
  <c r="GH48"/>
  <c r="K87"/>
  <c r="AT48"/>
  <c r="AP48"/>
  <c r="GF48"/>
  <c r="I87"/>
  <c r="HF48"/>
  <c r="AR48"/>
  <c r="F113" i="15"/>
  <c r="F115"/>
  <c r="F114"/>
  <c r="D37" i="3"/>
  <c r="GZ48" i="36"/>
  <c r="HL48"/>
  <c r="A3" i="41"/>
  <c r="EA48" i="36"/>
  <c r="L76"/>
  <c r="DU48"/>
  <c r="K75"/>
  <c r="DY48"/>
  <c r="J76"/>
  <c r="DS48"/>
  <c r="I75"/>
  <c r="EU48"/>
  <c r="EK48"/>
  <c r="L78"/>
  <c r="ES48"/>
  <c r="EI48"/>
  <c r="J78"/>
  <c r="EM48"/>
  <c r="I79"/>
  <c r="EQ48"/>
  <c r="GC48"/>
  <c r="K86"/>
  <c r="GM48"/>
  <c r="K88"/>
  <c r="GE48"/>
  <c r="H87"/>
  <c r="DD48"/>
  <c r="I72"/>
  <c r="BM48"/>
  <c r="K69"/>
  <c r="BR48"/>
  <c r="K68"/>
  <c r="DW48"/>
  <c r="H76"/>
  <c r="EO48"/>
  <c r="K79"/>
  <c r="EG48"/>
  <c r="H78"/>
  <c r="GA48"/>
  <c r="I86"/>
  <c r="GK48"/>
  <c r="I88"/>
  <c r="FU48"/>
  <c r="H85"/>
  <c r="EZ48"/>
  <c r="FF48"/>
  <c r="H92"/>
  <c r="DH48"/>
  <c r="H73"/>
  <c r="EC48"/>
  <c r="AJ48"/>
  <c r="AH48"/>
  <c r="AF48"/>
  <c r="GW48"/>
  <c r="GU48"/>
  <c r="EF48"/>
  <c r="DV48"/>
  <c r="L75"/>
  <c r="EE48"/>
  <c r="DZ48"/>
  <c r="K76"/>
  <c r="ED48"/>
  <c r="DT48"/>
  <c r="J75"/>
  <c r="DX48"/>
  <c r="I76"/>
  <c r="EB48"/>
  <c r="DR48"/>
  <c r="H75"/>
  <c r="EP48"/>
  <c r="L79"/>
  <c r="ET48"/>
  <c r="EJ48"/>
  <c r="K78"/>
  <c r="EN48"/>
  <c r="J79"/>
  <c r="ER48"/>
  <c r="EH48"/>
  <c r="I78"/>
  <c r="EL48"/>
  <c r="H79"/>
  <c r="CM48"/>
  <c r="CK48"/>
  <c r="CI48"/>
  <c r="DN48"/>
  <c r="DI48"/>
  <c r="I73"/>
  <c r="DM48"/>
  <c r="DC48"/>
  <c r="H72"/>
  <c r="BJ48"/>
  <c r="H69"/>
  <c r="BK48"/>
  <c r="I69"/>
  <c r="BP48"/>
  <c r="I68"/>
  <c r="A48"/>
  <c r="A7" s="1"/>
  <c r="FR48"/>
  <c r="J90"/>
  <c r="HH48"/>
  <c r="BE48"/>
  <c r="BI48"/>
  <c r="HB48"/>
  <c r="HD48"/>
  <c r="GQ48"/>
  <c r="HJ48"/>
  <c r="FJ48"/>
  <c r="L92"/>
  <c r="FL48"/>
  <c r="I91"/>
  <c r="FD48"/>
  <c r="K89"/>
  <c r="EV48"/>
  <c r="FK48"/>
  <c r="H91"/>
  <c r="FQ48"/>
  <c r="I90"/>
  <c r="FC48"/>
  <c r="J89"/>
  <c r="EY48"/>
  <c r="CJ48"/>
  <c r="AG48"/>
  <c r="HC48"/>
  <c r="GY48"/>
  <c r="HE48"/>
  <c r="HK48"/>
  <c r="GR48"/>
  <c r="GX48"/>
  <c r="GT48"/>
  <c r="DQ48"/>
  <c r="DL48"/>
  <c r="L73"/>
  <c r="DG48"/>
  <c r="L72"/>
  <c r="DP48"/>
  <c r="DK48"/>
  <c r="K73"/>
  <c r="DF48"/>
  <c r="K72"/>
  <c r="DO48"/>
  <c r="DJ48"/>
  <c r="J73"/>
  <c r="DE48"/>
  <c r="J72"/>
  <c r="DB48"/>
  <c r="L99"/>
  <c r="DA48"/>
  <c r="K99"/>
  <c r="CZ48"/>
  <c r="J99"/>
  <c r="CY48"/>
  <c r="I99"/>
  <c r="CX48"/>
  <c r="H99"/>
  <c r="BF48"/>
  <c r="BH48"/>
  <c r="BX48"/>
  <c r="L61"/>
  <c r="BW48"/>
  <c r="K61"/>
  <c r="BV48"/>
  <c r="J61"/>
  <c r="BU48"/>
  <c r="I61"/>
  <c r="BT48"/>
  <c r="H61"/>
  <c r="BN48"/>
  <c r="L69"/>
  <c r="BS48"/>
  <c r="L68"/>
  <c r="FS48"/>
  <c r="K90"/>
  <c r="FE48"/>
  <c r="L89"/>
  <c r="FA48"/>
  <c r="H89"/>
  <c r="EW48"/>
  <c r="CL48"/>
  <c r="AI48"/>
  <c r="HA48"/>
  <c r="HG48"/>
  <c r="HM48"/>
  <c r="HI48"/>
  <c r="GP48"/>
  <c r="GV48"/>
  <c r="BO48"/>
  <c r="H68"/>
  <c r="BL48"/>
  <c r="J69"/>
  <c r="BQ48"/>
  <c r="J68"/>
  <c r="GN48"/>
  <c r="L88"/>
  <c r="GL48"/>
  <c r="J88"/>
  <c r="GJ48"/>
  <c r="H88"/>
  <c r="GD48"/>
  <c r="L86"/>
  <c r="GB48"/>
  <c r="J86"/>
  <c r="FZ48"/>
  <c r="H86"/>
  <c r="FX48"/>
  <c r="K85"/>
  <c r="FV48"/>
  <c r="I85"/>
  <c r="FO48"/>
  <c r="L91"/>
  <c r="FM48"/>
  <c r="J91"/>
  <c r="FI48"/>
  <c r="K92"/>
  <c r="FG48"/>
  <c r="I92"/>
  <c r="C832" i="46"/>
  <c r="G862"/>
  <c r="I891"/>
  <c r="A58" i="26"/>
  <c r="G58"/>
  <c r="A1" i="25"/>
  <c r="O29" i="7"/>
  <c r="I3" i="29"/>
  <c r="A50" i="25"/>
  <c r="A1" i="29"/>
  <c r="A1" i="26"/>
  <c r="A3" i="37"/>
  <c r="N29" i="7"/>
  <c r="N53" i="46"/>
  <c r="N640"/>
  <c r="P640"/>
  <c r="D876"/>
  <c r="E875"/>
  <c r="D883"/>
  <c r="D881"/>
  <c r="D877"/>
  <c r="C884"/>
  <c r="C878"/>
  <c r="K330" i="11"/>
  <c r="K1648" i="46" s="1"/>
  <c r="O53"/>
  <c r="L66" i="36"/>
  <c r="K66"/>
  <c r="F957" i="46"/>
  <c r="I957" s="1"/>
  <c r="I66" i="36"/>
  <c r="F959" i="46"/>
  <c r="I959" s="1"/>
  <c r="F961"/>
  <c r="I961" s="1"/>
  <c r="M65" i="36"/>
  <c r="J66"/>
  <c r="M59"/>
  <c r="F958" i="46"/>
  <c r="H958" s="1"/>
  <c r="M87" i="36"/>
  <c r="M56"/>
  <c r="M64"/>
  <c r="M57"/>
  <c r="H75" i="46"/>
  <c r="K77" i="36"/>
  <c r="M89"/>
  <c r="K80"/>
  <c r="M90"/>
  <c r="Q90"/>
  <c r="L70"/>
  <c r="I77"/>
  <c r="M61"/>
  <c r="M99"/>
  <c r="M91"/>
  <c r="Q91"/>
  <c r="I84"/>
  <c r="H70"/>
  <c r="M72"/>
  <c r="Q72"/>
  <c r="M69"/>
  <c r="Q69"/>
  <c r="M79"/>
  <c r="Q79"/>
  <c r="M75"/>
  <c r="Q75"/>
  <c r="L77"/>
  <c r="J70"/>
  <c r="M78"/>
  <c r="Q78"/>
  <c r="K70"/>
  <c r="H74"/>
  <c r="M73"/>
  <c r="Q73"/>
  <c r="J80"/>
  <c r="I80"/>
  <c r="M76"/>
  <c r="Q76"/>
  <c r="L80"/>
  <c r="J77"/>
  <c r="I70"/>
  <c r="H80"/>
  <c r="K84"/>
  <c r="M68"/>
  <c r="Q68"/>
  <c r="H77"/>
  <c r="I74"/>
  <c r="M85"/>
  <c r="J84"/>
  <c r="H84"/>
  <c r="L84"/>
  <c r="M88"/>
  <c r="M86"/>
  <c r="J74"/>
  <c r="L74"/>
  <c r="K74"/>
  <c r="J100"/>
  <c r="K100"/>
  <c r="L100"/>
  <c r="M97"/>
  <c r="M92"/>
  <c r="Q92"/>
  <c r="D832" i="46"/>
  <c r="N6" i="36"/>
  <c r="P6"/>
  <c r="Q15" s="1"/>
  <c r="Q649" i="46" s="1"/>
  <c r="M95" i="36"/>
  <c r="Q95"/>
  <c r="I100"/>
  <c r="M94"/>
  <c r="Q94"/>
  <c r="Q99"/>
  <c r="P77" i="46"/>
  <c r="Q61" i="36"/>
  <c r="H79" i="46"/>
  <c r="Q64" i="36"/>
  <c r="I76" i="46"/>
  <c r="Q89" i="36"/>
  <c r="Q56"/>
  <c r="H76" i="46"/>
  <c r="H74" s="1"/>
  <c r="H78" s="1"/>
  <c r="H80" s="1"/>
  <c r="Q59" i="36"/>
  <c r="H77" i="46"/>
  <c r="Q97" i="36"/>
  <c r="P75" i="46"/>
  <c r="Q65" i="36"/>
  <c r="I75" i="46"/>
  <c r="I958"/>
  <c r="H961"/>
  <c r="D878"/>
  <c r="F875"/>
  <c r="E883"/>
  <c r="E881"/>
  <c r="E876"/>
  <c r="E877"/>
  <c r="M66" i="36"/>
  <c r="Q66"/>
  <c r="I51" i="7"/>
  <c r="H52"/>
  <c r="H50" i="6"/>
  <c r="H53" i="7"/>
  <c r="I52"/>
  <c r="H52" i="6"/>
  <c r="Q57" i="36"/>
  <c r="H51" i="7"/>
  <c r="P53"/>
  <c r="M70" i="36"/>
  <c r="Q70"/>
  <c r="H48" i="6"/>
  <c r="H55" i="7"/>
  <c r="M77" i="36"/>
  <c r="M84"/>
  <c r="Q84"/>
  <c r="M80"/>
  <c r="H49" i="6"/>
  <c r="P51" i="7"/>
  <c r="M74" i="36"/>
  <c r="M62"/>
  <c r="E514" i="46"/>
  <c r="R13" i="24"/>
  <c r="R12"/>
  <c r="E832" i="46"/>
  <c r="P74"/>
  <c r="P76" s="1"/>
  <c r="P78" s="1"/>
  <c r="P83" s="1"/>
  <c r="Q58" i="36"/>
  <c r="K1549" i="46"/>
  <c r="K231" i="11"/>
  <c r="L1562" i="46"/>
  <c r="L1563" s="1"/>
  <c r="K1485"/>
  <c r="P71" i="7"/>
  <c r="P68"/>
  <c r="P95" i="46"/>
  <c r="L244" i="11"/>
  <c r="L245" s="1"/>
  <c r="K167"/>
  <c r="J158" i="36"/>
  <c r="J157"/>
  <c r="J159"/>
  <c r="F45" i="7"/>
  <c r="F69" i="46"/>
  <c r="K1486"/>
  <c r="K168" i="11"/>
  <c r="F44" i="7"/>
  <c r="F68" i="46"/>
  <c r="L1350"/>
  <c r="K1350"/>
  <c r="L1349"/>
  <c r="P139" i="7"/>
  <c r="P138"/>
  <c r="L32" i="11"/>
  <c r="L31"/>
  <c r="P30" s="1"/>
  <c r="E100" i="15"/>
  <c r="F883" i="46"/>
  <c r="F881"/>
  <c r="F877"/>
  <c r="G875"/>
  <c r="F876"/>
  <c r="E878"/>
  <c r="E884"/>
  <c r="Q60" i="36"/>
  <c r="K32" i="11"/>
  <c r="K31"/>
  <c r="Q77" i="36"/>
  <c r="Q80"/>
  <c r="F43" i="7"/>
  <c r="F67" i="46" s="1"/>
  <c r="Q74" i="36"/>
  <c r="Q62"/>
  <c r="F122" i="15"/>
  <c r="P160" i="36"/>
  <c r="F832" i="46"/>
  <c r="J566"/>
  <c r="H100" i="36"/>
  <c r="M100"/>
  <c r="P50" i="7"/>
  <c r="P52"/>
  <c r="P54" s="1"/>
  <c r="P59" s="1"/>
  <c r="Q96" i="36"/>
  <c r="M566" i="46"/>
  <c r="P566"/>
  <c r="F878"/>
  <c r="G883"/>
  <c r="G881"/>
  <c r="G877"/>
  <c r="H875"/>
  <c r="G876"/>
  <c r="Q98" i="36"/>
  <c r="B21" i="8"/>
  <c r="J79" s="1"/>
  <c r="G832" i="46"/>
  <c r="Q100" i="36"/>
  <c r="H876" i="46"/>
  <c r="H883"/>
  <c r="H881"/>
  <c r="H877"/>
  <c r="I875"/>
  <c r="G878"/>
  <c r="G884"/>
  <c r="Q53" i="36"/>
  <c r="C50" i="8"/>
  <c r="G21"/>
  <c r="H832" i="46"/>
  <c r="J875"/>
  <c r="I881"/>
  <c r="I877"/>
  <c r="I876"/>
  <c r="I883"/>
  <c r="H878"/>
  <c r="I832"/>
  <c r="I878"/>
  <c r="I884"/>
  <c r="J883"/>
  <c r="J881"/>
  <c r="J877"/>
  <c r="K875"/>
  <c r="J876"/>
  <c r="J832"/>
  <c r="K876"/>
  <c r="K883"/>
  <c r="K881"/>
  <c r="K877"/>
  <c r="J878"/>
  <c r="K832"/>
  <c r="K878"/>
  <c r="K884"/>
  <c r="B861"/>
  <c r="C861"/>
  <c r="D861"/>
  <c r="E861"/>
  <c r="F861"/>
  <c r="G861"/>
  <c r="H861"/>
  <c r="I861"/>
  <c r="J861"/>
  <c r="K861"/>
  <c r="B890"/>
  <c r="C890"/>
  <c r="D890"/>
  <c r="E890"/>
  <c r="F890"/>
  <c r="G890"/>
  <c r="H890"/>
  <c r="I890"/>
  <c r="J890"/>
  <c r="K890"/>
  <c r="C827"/>
  <c r="C836" s="1"/>
  <c r="B33" i="8"/>
  <c r="C835" i="46"/>
  <c r="D827"/>
  <c r="C36" i="8"/>
  <c r="D36" s="1"/>
  <c r="J21" l="1"/>
  <c r="H957" i="46"/>
  <c r="D837"/>
  <c r="O125" i="11"/>
  <c r="U1443" i="46" s="1"/>
  <c r="N48" i="6"/>
  <c r="A490" i="46"/>
  <c r="L675"/>
  <c r="O1348"/>
  <c r="G1619"/>
  <c r="K1618"/>
  <c r="K1628"/>
  <c r="K1630"/>
  <c r="K1632"/>
  <c r="G1622"/>
  <c r="K1623"/>
  <c r="K1625"/>
  <c r="M1625" s="1"/>
  <c r="G1635"/>
  <c r="G1637"/>
  <c r="K1636"/>
  <c r="F50" i="8"/>
  <c r="H50" i="7"/>
  <c r="H54" s="1"/>
  <c r="H56" s="1"/>
  <c r="Q14" i="36"/>
  <c r="Q648" i="46" s="1"/>
  <c r="P177"/>
  <c r="R350"/>
  <c r="L381"/>
  <c r="A541"/>
  <c r="S542"/>
  <c r="L610"/>
  <c r="K610"/>
  <c r="J624"/>
  <c r="A676"/>
  <c r="A681"/>
  <c r="A677"/>
  <c r="A673"/>
  <c r="L681"/>
  <c r="AX678"/>
  <c r="FV680"/>
  <c r="DT681"/>
  <c r="C897"/>
  <c r="B50" i="8"/>
  <c r="K50"/>
  <c r="Q12" i="36"/>
  <c r="Q646" i="46" s="1"/>
  <c r="K745"/>
  <c r="K777"/>
  <c r="G1602"/>
  <c r="D40" i="8"/>
  <c r="I50" i="6"/>
  <c r="P209" i="11"/>
  <c r="J478" i="46"/>
  <c r="G491"/>
  <c r="M497"/>
  <c r="S505"/>
  <c r="G826"/>
  <c r="O1326"/>
  <c r="M1616"/>
  <c r="M1632"/>
  <c r="I21" i="8"/>
  <c r="E21"/>
  <c r="D21"/>
  <c r="J431" i="46"/>
  <c r="M431"/>
  <c r="S437"/>
  <c r="G478"/>
  <c r="S478"/>
  <c r="M491"/>
  <c r="P491"/>
  <c r="P497"/>
  <c r="G505"/>
  <c r="S519"/>
  <c r="S525"/>
  <c r="J530"/>
  <c r="G538"/>
  <c r="M538"/>
  <c r="J558"/>
  <c r="J562" s="1"/>
  <c r="M610"/>
  <c r="I610"/>
  <c r="J610"/>
  <c r="L624"/>
  <c r="I624"/>
  <c r="M624"/>
  <c r="K21" i="8"/>
  <c r="D50"/>
  <c r="I79"/>
  <c r="G79"/>
  <c r="F21"/>
  <c r="G50"/>
  <c r="D79"/>
  <c r="D884" i="46"/>
  <c r="H959"/>
  <c r="F36" i="15"/>
  <c r="G36" s="1"/>
  <c r="G450" i="46" s="1"/>
  <c r="I52" i="6"/>
  <c r="I51"/>
  <c r="I49"/>
  <c r="I48"/>
  <c r="J452" i="46"/>
  <c r="M452"/>
  <c r="W674"/>
  <c r="AE674"/>
  <c r="AM674"/>
  <c r="AU674"/>
  <c r="BC674"/>
  <c r="BK674"/>
  <c r="BS674"/>
  <c r="CC674"/>
  <c r="CK674"/>
  <c r="DC674"/>
  <c r="DK674"/>
  <c r="DS674"/>
  <c r="EA674"/>
  <c r="EI674"/>
  <c r="EQ674"/>
  <c r="GO674"/>
  <c r="GW674"/>
  <c r="AD675"/>
  <c r="AS675"/>
  <c r="BI675"/>
  <c r="BY675"/>
  <c r="CO675"/>
  <c r="DE675"/>
  <c r="DU675"/>
  <c r="EK675"/>
  <c r="FA675"/>
  <c r="FQ675"/>
  <c r="GG675"/>
  <c r="GW675"/>
  <c r="EH678"/>
  <c r="AT679"/>
  <c r="BW679"/>
  <c r="CZ679"/>
  <c r="ED679"/>
  <c r="FJ679"/>
  <c r="F855"/>
  <c r="M1612"/>
  <c r="GP678"/>
  <c r="GR678"/>
  <c r="A678"/>
  <c r="HL678"/>
  <c r="GV678"/>
  <c r="EJ678"/>
  <c r="DT678"/>
  <c r="DD678"/>
  <c r="CN678"/>
  <c r="AB678"/>
  <c r="HD678"/>
  <c r="ER678"/>
  <c r="EB678"/>
  <c r="DL678"/>
  <c r="CF678"/>
  <c r="AJ678"/>
  <c r="HJ674"/>
  <c r="HE674"/>
  <c r="GZ674"/>
  <c r="GV674"/>
  <c r="GR674"/>
  <c r="ER674"/>
  <c r="EN674"/>
  <c r="EJ674"/>
  <c r="EF674"/>
  <c r="EB674"/>
  <c r="DX674"/>
  <c r="DT674"/>
  <c r="DP674"/>
  <c r="DL674"/>
  <c r="DH674"/>
  <c r="DD674"/>
  <c r="CR674"/>
  <c r="CN674"/>
  <c r="CJ674"/>
  <c r="CF674"/>
  <c r="CB674"/>
  <c r="AN674"/>
  <c r="AJ674"/>
  <c r="AF674"/>
  <c r="AB674"/>
  <c r="X674"/>
  <c r="HM674"/>
  <c r="HH674"/>
  <c r="HB674"/>
  <c r="GX674"/>
  <c r="GT674"/>
  <c r="GP674"/>
  <c r="ET674"/>
  <c r="EP674"/>
  <c r="EL674"/>
  <c r="EL682" s="1"/>
  <c r="H713" s="1"/>
  <c r="EH674"/>
  <c r="ED674"/>
  <c r="DZ674"/>
  <c r="DV674"/>
  <c r="DR674"/>
  <c r="DN674"/>
  <c r="DJ674"/>
  <c r="DF674"/>
  <c r="CP674"/>
  <c r="CL674"/>
  <c r="CH674"/>
  <c r="CD674"/>
  <c r="BZ674"/>
  <c r="AL674"/>
  <c r="AH674"/>
  <c r="AD674"/>
  <c r="Z674"/>
  <c r="V674"/>
  <c r="HL670"/>
  <c r="HH670"/>
  <c r="HD670"/>
  <c r="GZ670"/>
  <c r="GV670"/>
  <c r="GR670"/>
  <c r="ER670"/>
  <c r="EN670"/>
  <c r="EJ670"/>
  <c r="EF670"/>
  <c r="EB670"/>
  <c r="DX670"/>
  <c r="DT670"/>
  <c r="DP670"/>
  <c r="DL670"/>
  <c r="DH670"/>
  <c r="DD670"/>
  <c r="CR670"/>
  <c r="CN670"/>
  <c r="CJ670"/>
  <c r="CF670"/>
  <c r="CB670"/>
  <c r="AN670"/>
  <c r="AJ670"/>
  <c r="AF670"/>
  <c r="AB670"/>
  <c r="AB682" s="1"/>
  <c r="I691" s="1"/>
  <c r="X670"/>
  <c r="HJ670"/>
  <c r="HF670"/>
  <c r="HB670"/>
  <c r="HB682" s="1"/>
  <c r="GX670"/>
  <c r="GT670"/>
  <c r="GP670"/>
  <c r="ET670"/>
  <c r="EP670"/>
  <c r="EL670"/>
  <c r="EH670"/>
  <c r="ED670"/>
  <c r="DZ670"/>
  <c r="DV670"/>
  <c r="DR670"/>
  <c r="DN670"/>
  <c r="DJ670"/>
  <c r="DF670"/>
  <c r="CP670"/>
  <c r="CL670"/>
  <c r="CH670"/>
  <c r="CD670"/>
  <c r="BZ670"/>
  <c r="AL670"/>
  <c r="AL682" s="1"/>
  <c r="I693" s="1"/>
  <c r="AH670"/>
  <c r="AD670"/>
  <c r="Z670"/>
  <c r="V670"/>
  <c r="V682" s="1"/>
  <c r="H690" s="1"/>
  <c r="HJ679"/>
  <c r="HB679"/>
  <c r="GT679"/>
  <c r="GL679"/>
  <c r="GD679"/>
  <c r="FV679"/>
  <c r="FN679"/>
  <c r="FF679"/>
  <c r="EX679"/>
  <c r="EP679"/>
  <c r="EH679"/>
  <c r="DZ679"/>
  <c r="DR679"/>
  <c r="DJ679"/>
  <c r="DB679"/>
  <c r="CX679"/>
  <c r="CP679"/>
  <c r="CH679"/>
  <c r="BZ679"/>
  <c r="BU679"/>
  <c r="BN679"/>
  <c r="BF679"/>
  <c r="AX679"/>
  <c r="AP679"/>
  <c r="AH679"/>
  <c r="Z679"/>
  <c r="A679"/>
  <c r="HL679"/>
  <c r="HD679"/>
  <c r="GV679"/>
  <c r="GN679"/>
  <c r="GF679"/>
  <c r="FX679"/>
  <c r="FP679"/>
  <c r="FH679"/>
  <c r="EZ679"/>
  <c r="ER679"/>
  <c r="EJ679"/>
  <c r="EB679"/>
  <c r="DT679"/>
  <c r="DL679"/>
  <c r="DD679"/>
  <c r="CY679"/>
  <c r="CR679"/>
  <c r="CJ679"/>
  <c r="CB679"/>
  <c r="BV679"/>
  <c r="BP679"/>
  <c r="BH679"/>
  <c r="AZ679"/>
  <c r="AR679"/>
  <c r="AJ679"/>
  <c r="AB679"/>
  <c r="HH679"/>
  <c r="GR679"/>
  <c r="GB679"/>
  <c r="FL679"/>
  <c r="EV679"/>
  <c r="EF679"/>
  <c r="DP679"/>
  <c r="DA679"/>
  <c r="CN679"/>
  <c r="BX679"/>
  <c r="BL679"/>
  <c r="AV679"/>
  <c r="AF679"/>
  <c r="GZ679"/>
  <c r="GJ679"/>
  <c r="FT679"/>
  <c r="FD679"/>
  <c r="EN679"/>
  <c r="DX679"/>
  <c r="DH679"/>
  <c r="CV679"/>
  <c r="CF679"/>
  <c r="BT679"/>
  <c r="BD679"/>
  <c r="AN679"/>
  <c r="X679"/>
  <c r="HK675"/>
  <c r="HG675"/>
  <c r="HC675"/>
  <c r="GY675"/>
  <c r="GU675"/>
  <c r="GQ675"/>
  <c r="GM675"/>
  <c r="GI675"/>
  <c r="GE675"/>
  <c r="GA675"/>
  <c r="FW675"/>
  <c r="FS675"/>
  <c r="FO675"/>
  <c r="FK675"/>
  <c r="FG675"/>
  <c r="FC675"/>
  <c r="EY675"/>
  <c r="EU675"/>
  <c r="EQ675"/>
  <c r="EM675"/>
  <c r="EI675"/>
  <c r="EE675"/>
  <c r="EA675"/>
  <c r="DW675"/>
  <c r="DS675"/>
  <c r="DO675"/>
  <c r="DK675"/>
  <c r="DG675"/>
  <c r="DC675"/>
  <c r="CY675"/>
  <c r="CU675"/>
  <c r="CQ675"/>
  <c r="CM675"/>
  <c r="CI675"/>
  <c r="CE675"/>
  <c r="CA675"/>
  <c r="BW675"/>
  <c r="BS675"/>
  <c r="BO675"/>
  <c r="BK675"/>
  <c r="BG675"/>
  <c r="BC675"/>
  <c r="AY675"/>
  <c r="AU675"/>
  <c r="AQ675"/>
  <c r="AM675"/>
  <c r="AI675"/>
  <c r="HL675"/>
  <c r="HH675"/>
  <c r="HD675"/>
  <c r="GZ675"/>
  <c r="GV675"/>
  <c r="GR675"/>
  <c r="GN675"/>
  <c r="GJ675"/>
  <c r="GF675"/>
  <c r="GB675"/>
  <c r="FX675"/>
  <c r="FT675"/>
  <c r="FP675"/>
  <c r="FL675"/>
  <c r="FL682" s="1"/>
  <c r="I725" s="1"/>
  <c r="FH675"/>
  <c r="FD675"/>
  <c r="EZ675"/>
  <c r="EV675"/>
  <c r="ER675"/>
  <c r="EN675"/>
  <c r="EJ675"/>
  <c r="EF675"/>
  <c r="EB675"/>
  <c r="DX675"/>
  <c r="DT675"/>
  <c r="DP675"/>
  <c r="DL675"/>
  <c r="DH675"/>
  <c r="DD675"/>
  <c r="CZ675"/>
  <c r="CZ682" s="1"/>
  <c r="J733" s="1"/>
  <c r="CV675"/>
  <c r="CR675"/>
  <c r="CN675"/>
  <c r="CJ675"/>
  <c r="CF675"/>
  <c r="CB675"/>
  <c r="BX675"/>
  <c r="BX682" s="1"/>
  <c r="L695" s="1"/>
  <c r="BT675"/>
  <c r="BT682" s="1"/>
  <c r="H695" s="1"/>
  <c r="BP675"/>
  <c r="BL675"/>
  <c r="BH675"/>
  <c r="BD675"/>
  <c r="AZ675"/>
  <c r="AV675"/>
  <c r="AR675"/>
  <c r="AN675"/>
  <c r="AJ675"/>
  <c r="AF675"/>
  <c r="AB675"/>
  <c r="X675"/>
  <c r="HF675"/>
  <c r="GX675"/>
  <c r="GP675"/>
  <c r="GH675"/>
  <c r="FZ675"/>
  <c r="FR675"/>
  <c r="FJ675"/>
  <c r="FB675"/>
  <c r="ET675"/>
  <c r="EL675"/>
  <c r="ED675"/>
  <c r="DV675"/>
  <c r="DN675"/>
  <c r="DF675"/>
  <c r="CX675"/>
  <c r="CX682" s="1"/>
  <c r="H733" s="1"/>
  <c r="CP675"/>
  <c r="CH675"/>
  <c r="BZ675"/>
  <c r="BR675"/>
  <c r="BJ675"/>
  <c r="BB675"/>
  <c r="AT675"/>
  <c r="AL675"/>
  <c r="AE675"/>
  <c r="Z675"/>
  <c r="HJ675"/>
  <c r="HB675"/>
  <c r="GT675"/>
  <c r="GL675"/>
  <c r="GD675"/>
  <c r="FV675"/>
  <c r="FN675"/>
  <c r="FF675"/>
  <c r="EX675"/>
  <c r="EP675"/>
  <c r="EH675"/>
  <c r="DZ675"/>
  <c r="DR675"/>
  <c r="DJ675"/>
  <c r="DB675"/>
  <c r="CT675"/>
  <c r="CL675"/>
  <c r="CD675"/>
  <c r="BV675"/>
  <c r="BN675"/>
  <c r="BF675"/>
  <c r="AX675"/>
  <c r="AP675"/>
  <c r="AH675"/>
  <c r="AC675"/>
  <c r="W675"/>
  <c r="HM671"/>
  <c r="HI671"/>
  <c r="HE671"/>
  <c r="HA671"/>
  <c r="GW671"/>
  <c r="GS671"/>
  <c r="GO671"/>
  <c r="GK671"/>
  <c r="GG671"/>
  <c r="GC671"/>
  <c r="FY671"/>
  <c r="FU671"/>
  <c r="FQ671"/>
  <c r="FM671"/>
  <c r="FI671"/>
  <c r="FE671"/>
  <c r="FA671"/>
  <c r="EW671"/>
  <c r="ES671"/>
  <c r="EO671"/>
  <c r="EK671"/>
  <c r="EG671"/>
  <c r="EC671"/>
  <c r="DY671"/>
  <c r="DU671"/>
  <c r="DQ671"/>
  <c r="DM671"/>
  <c r="DI671"/>
  <c r="DE671"/>
  <c r="DA671"/>
  <c r="CW671"/>
  <c r="CS671"/>
  <c r="CO671"/>
  <c r="CK671"/>
  <c r="CG671"/>
  <c r="CC671"/>
  <c r="BY671"/>
  <c r="BU671"/>
  <c r="BQ671"/>
  <c r="BM671"/>
  <c r="BI671"/>
  <c r="BE671"/>
  <c r="BA671"/>
  <c r="AW671"/>
  <c r="AS671"/>
  <c r="AO671"/>
  <c r="AK671"/>
  <c r="AG671"/>
  <c r="AC671"/>
  <c r="Y671"/>
  <c r="HK671"/>
  <c r="HG671"/>
  <c r="HC671"/>
  <c r="GY671"/>
  <c r="GU671"/>
  <c r="GQ671"/>
  <c r="GM671"/>
  <c r="GI671"/>
  <c r="GE671"/>
  <c r="GA671"/>
  <c r="FW671"/>
  <c r="FS671"/>
  <c r="FO671"/>
  <c r="FK671"/>
  <c r="FG671"/>
  <c r="FC671"/>
  <c r="EY671"/>
  <c r="EU671"/>
  <c r="EQ671"/>
  <c r="EM671"/>
  <c r="EI671"/>
  <c r="EE671"/>
  <c r="EA671"/>
  <c r="DW671"/>
  <c r="DS671"/>
  <c r="DO671"/>
  <c r="DK671"/>
  <c r="DG671"/>
  <c r="DC671"/>
  <c r="CY671"/>
  <c r="CU671"/>
  <c r="CQ671"/>
  <c r="CM671"/>
  <c r="CI671"/>
  <c r="CE671"/>
  <c r="CA671"/>
  <c r="BW671"/>
  <c r="BS671"/>
  <c r="BO671"/>
  <c r="BK671"/>
  <c r="BG671"/>
  <c r="BC671"/>
  <c r="AY671"/>
  <c r="AU671"/>
  <c r="AQ671"/>
  <c r="AM671"/>
  <c r="AI671"/>
  <c r="AE671"/>
  <c r="AA671"/>
  <c r="W671"/>
  <c r="A671"/>
  <c r="A682" s="1"/>
  <c r="A641" s="1"/>
  <c r="P680"/>
  <c r="K680"/>
  <c r="K676"/>
  <c r="L676" s="1"/>
  <c r="P676"/>
  <c r="BH678"/>
  <c r="AR678"/>
  <c r="CV678"/>
  <c r="BP678"/>
  <c r="AZ678"/>
  <c r="CV674"/>
  <c r="BP674"/>
  <c r="BL674"/>
  <c r="BH674"/>
  <c r="BD674"/>
  <c r="AZ674"/>
  <c r="AV674"/>
  <c r="AR674"/>
  <c r="CT674"/>
  <c r="BR674"/>
  <c r="BN674"/>
  <c r="BJ674"/>
  <c r="BF674"/>
  <c r="BB674"/>
  <c r="AX674"/>
  <c r="AT674"/>
  <c r="AP674"/>
  <c r="CV670"/>
  <c r="BP670"/>
  <c r="BP682" s="1"/>
  <c r="I702" s="1"/>
  <c r="BL670"/>
  <c r="BH670"/>
  <c r="BH682" s="1"/>
  <c r="BD670"/>
  <c r="AZ670"/>
  <c r="AZ682" s="1"/>
  <c r="H698" s="1"/>
  <c r="AV670"/>
  <c r="AR670"/>
  <c r="AR682" s="1"/>
  <c r="CT670"/>
  <c r="BR670"/>
  <c r="BN670"/>
  <c r="BJ670"/>
  <c r="BF670"/>
  <c r="BB670"/>
  <c r="AX670"/>
  <c r="AT670"/>
  <c r="AP670"/>
  <c r="GN680"/>
  <c r="GF680"/>
  <c r="FX680"/>
  <c r="FP680"/>
  <c r="FH680"/>
  <c r="EZ680"/>
  <c r="GH680"/>
  <c r="FZ680"/>
  <c r="FR680"/>
  <c r="FJ680"/>
  <c r="FB680"/>
  <c r="GB680"/>
  <c r="FL680"/>
  <c r="EV680"/>
  <c r="GJ680"/>
  <c r="FT680"/>
  <c r="FD680"/>
  <c r="GN676"/>
  <c r="GJ676"/>
  <c r="GF676"/>
  <c r="GB676"/>
  <c r="FX676"/>
  <c r="FT676"/>
  <c r="FP676"/>
  <c r="FL676"/>
  <c r="FH676"/>
  <c r="FD676"/>
  <c r="EZ676"/>
  <c r="EV676"/>
  <c r="GK676"/>
  <c r="GG676"/>
  <c r="GC676"/>
  <c r="FY676"/>
  <c r="FU676"/>
  <c r="FQ676"/>
  <c r="FM676"/>
  <c r="FI676"/>
  <c r="FE676"/>
  <c r="FA676"/>
  <c r="EW676"/>
  <c r="GI676"/>
  <c r="GA676"/>
  <c r="FS676"/>
  <c r="FK676"/>
  <c r="FC676"/>
  <c r="GM676"/>
  <c r="GE676"/>
  <c r="FW676"/>
  <c r="FO676"/>
  <c r="FG676"/>
  <c r="EY676"/>
  <c r="GL672"/>
  <c r="GH672"/>
  <c r="GH682" s="1"/>
  <c r="K721" s="1"/>
  <c r="GD672"/>
  <c r="FZ672"/>
  <c r="FV672"/>
  <c r="FV682" s="1"/>
  <c r="I719" s="1"/>
  <c r="FR672"/>
  <c r="FN672"/>
  <c r="FJ672"/>
  <c r="FF672"/>
  <c r="FB672"/>
  <c r="EX672"/>
  <c r="GN672"/>
  <c r="GJ672"/>
  <c r="GF672"/>
  <c r="GB672"/>
  <c r="FX672"/>
  <c r="FX682" s="1"/>
  <c r="K719" s="1"/>
  <c r="FT672"/>
  <c r="FP672"/>
  <c r="FP682" s="1"/>
  <c r="H724" s="1"/>
  <c r="FL672"/>
  <c r="FH672"/>
  <c r="FD672"/>
  <c r="EZ672"/>
  <c r="EZ682" s="1"/>
  <c r="EV672"/>
  <c r="GN668"/>
  <c r="GJ668"/>
  <c r="GF668"/>
  <c r="GF682" s="1"/>
  <c r="I721" s="1"/>
  <c r="HH681"/>
  <c r="GZ681"/>
  <c r="EN681"/>
  <c r="EF681"/>
  <c r="DX681"/>
  <c r="DP681"/>
  <c r="DH681"/>
  <c r="HJ681"/>
  <c r="HB681"/>
  <c r="EP681"/>
  <c r="EH681"/>
  <c r="DZ681"/>
  <c r="DR681"/>
  <c r="DJ681"/>
  <c r="EL681"/>
  <c r="DV681"/>
  <c r="DF681"/>
  <c r="HF681"/>
  <c r="ET681"/>
  <c r="ED681"/>
  <c r="DN681"/>
  <c r="HL677"/>
  <c r="HD677"/>
  <c r="ES677"/>
  <c r="EO677"/>
  <c r="EK677"/>
  <c r="EG677"/>
  <c r="EC677"/>
  <c r="DY677"/>
  <c r="DU677"/>
  <c r="DQ677"/>
  <c r="DM677"/>
  <c r="DI677"/>
  <c r="DE677"/>
  <c r="HF677"/>
  <c r="ET677"/>
  <c r="EP677"/>
  <c r="EL677"/>
  <c r="EH677"/>
  <c r="ED677"/>
  <c r="DZ677"/>
  <c r="DV677"/>
  <c r="DR677"/>
  <c r="DN677"/>
  <c r="DJ677"/>
  <c r="DF677"/>
  <c r="HJ677"/>
  <c r="EU677"/>
  <c r="EM677"/>
  <c r="EE677"/>
  <c r="DW677"/>
  <c r="DO677"/>
  <c r="DG677"/>
  <c r="HB677"/>
  <c r="EQ677"/>
  <c r="EI677"/>
  <c r="EA677"/>
  <c r="DS677"/>
  <c r="DK677"/>
  <c r="DC677"/>
  <c r="HK673"/>
  <c r="HG673"/>
  <c r="HC673"/>
  <c r="GY673"/>
  <c r="EU673"/>
  <c r="EQ673"/>
  <c r="EM673"/>
  <c r="EI673"/>
  <c r="EE673"/>
  <c r="EA673"/>
  <c r="DW673"/>
  <c r="DS673"/>
  <c r="DO673"/>
  <c r="DK673"/>
  <c r="DG673"/>
  <c r="DC673"/>
  <c r="HM673"/>
  <c r="HI673"/>
  <c r="HE673"/>
  <c r="HA673"/>
  <c r="ES673"/>
  <c r="EO673"/>
  <c r="EK673"/>
  <c r="EG673"/>
  <c r="EC673"/>
  <c r="DY673"/>
  <c r="DU673"/>
  <c r="DQ673"/>
  <c r="DM673"/>
  <c r="DI673"/>
  <c r="DE673"/>
  <c r="HK669"/>
  <c r="HG669"/>
  <c r="HC669"/>
  <c r="GY669"/>
  <c r="EU669"/>
  <c r="EQ669"/>
  <c r="EM669"/>
  <c r="EI669"/>
  <c r="EE669"/>
  <c r="EA669"/>
  <c r="DW669"/>
  <c r="DS669"/>
  <c r="DO669"/>
  <c r="DK669"/>
  <c r="DG669"/>
  <c r="DC669"/>
  <c r="HM669"/>
  <c r="HI669"/>
  <c r="HE669"/>
  <c r="HA669"/>
  <c r="ES669"/>
  <c r="EO669"/>
  <c r="EK669"/>
  <c r="EG669"/>
  <c r="EC669"/>
  <c r="DY669"/>
  <c r="DU669"/>
  <c r="DQ669"/>
  <c r="DM669"/>
  <c r="DI669"/>
  <c r="DE669"/>
  <c r="H79" i="8"/>
  <c r="H50"/>
  <c r="K79"/>
  <c r="I50"/>
  <c r="F79"/>
  <c r="B835" i="46"/>
  <c r="G431"/>
  <c r="P431"/>
  <c r="G437"/>
  <c r="G497"/>
  <c r="M478"/>
  <c r="J491"/>
  <c r="S491"/>
  <c r="S497"/>
  <c r="A504"/>
  <c r="G519"/>
  <c r="G525"/>
  <c r="M530"/>
  <c r="S538"/>
  <c r="M542"/>
  <c r="K624"/>
  <c r="DB682"/>
  <c r="L733" s="1"/>
  <c r="FD682"/>
  <c r="K723" s="1"/>
  <c r="D835"/>
  <c r="D33" i="8"/>
  <c r="C21"/>
  <c r="E79"/>
  <c r="J50"/>
  <c r="H21"/>
  <c r="E50"/>
  <c r="C79"/>
  <c r="B79"/>
  <c r="P1348" i="46"/>
  <c r="P147" i="36"/>
  <c r="M50" i="6"/>
  <c r="K53"/>
  <c r="P447" i="46"/>
  <c r="GR681"/>
  <c r="CN681"/>
  <c r="CF681"/>
  <c r="AN681"/>
  <c r="AF681"/>
  <c r="X681"/>
  <c r="GT681"/>
  <c r="CP681"/>
  <c r="CH681"/>
  <c r="BZ681"/>
  <c r="AH681"/>
  <c r="Z681"/>
  <c r="GV677"/>
  <c r="CO677"/>
  <c r="CK677"/>
  <c r="CG677"/>
  <c r="CC677"/>
  <c r="BY677"/>
  <c r="AO677"/>
  <c r="AK677"/>
  <c r="AG677"/>
  <c r="AC677"/>
  <c r="Y677"/>
  <c r="GX677"/>
  <c r="GP677"/>
  <c r="CP677"/>
  <c r="CL677"/>
  <c r="CH677"/>
  <c r="CD677"/>
  <c r="BZ677"/>
  <c r="AL677"/>
  <c r="AH677"/>
  <c r="AD677"/>
  <c r="Z677"/>
  <c r="V677"/>
  <c r="HF678"/>
  <c r="GX678"/>
  <c r="GH678"/>
  <c r="FZ678"/>
  <c r="FR678"/>
  <c r="FJ678"/>
  <c r="FB678"/>
  <c r="ET678"/>
  <c r="EL678"/>
  <c r="ED678"/>
  <c r="DV678"/>
  <c r="DN678"/>
  <c r="DF678"/>
  <c r="CX678"/>
  <c r="CP678"/>
  <c r="CH678"/>
  <c r="BZ678"/>
  <c r="BR678"/>
  <c r="BJ678"/>
  <c r="BB678"/>
  <c r="AT678"/>
  <c r="AL678"/>
  <c r="AD678"/>
  <c r="V678"/>
  <c r="HH678"/>
  <c r="GZ678"/>
  <c r="GJ678"/>
  <c r="GJ682" s="1"/>
  <c r="H722" s="1"/>
  <c r="GB678"/>
  <c r="FT678"/>
  <c r="FL678"/>
  <c r="FD678"/>
  <c r="EV678"/>
  <c r="EN678"/>
  <c r="EF678"/>
  <c r="DX678"/>
  <c r="DP678"/>
  <c r="DH678"/>
  <c r="CZ678"/>
  <c r="CR678"/>
  <c r="CJ678"/>
  <c r="CB678"/>
  <c r="BT678"/>
  <c r="BL678"/>
  <c r="BD678"/>
  <c r="AV678"/>
  <c r="AN678"/>
  <c r="AF678"/>
  <c r="X678"/>
  <c r="HK674"/>
  <c r="HG674"/>
  <c r="HC674"/>
  <c r="P679"/>
  <c r="K679"/>
  <c r="L679" s="1"/>
  <c r="CV681"/>
  <c r="BL681"/>
  <c r="BD681"/>
  <c r="AV681"/>
  <c r="BN681"/>
  <c r="BF681"/>
  <c r="AX681"/>
  <c r="AP681"/>
  <c r="CW677"/>
  <c r="CS677"/>
  <c r="BQ677"/>
  <c r="BM677"/>
  <c r="BI677"/>
  <c r="BE677"/>
  <c r="BA677"/>
  <c r="AW677"/>
  <c r="AS677"/>
  <c r="CT677"/>
  <c r="BR677"/>
  <c r="BN677"/>
  <c r="BJ677"/>
  <c r="BF677"/>
  <c r="BB677"/>
  <c r="AX677"/>
  <c r="AT677"/>
  <c r="AP677"/>
  <c r="HL680"/>
  <c r="HD680"/>
  <c r="ER680"/>
  <c r="EJ680"/>
  <c r="EB680"/>
  <c r="DT680"/>
  <c r="DL680"/>
  <c r="DD680"/>
  <c r="HF680"/>
  <c r="ET680"/>
  <c r="EL680"/>
  <c r="ED680"/>
  <c r="DV680"/>
  <c r="DN680"/>
  <c r="DF680"/>
  <c r="HL676"/>
  <c r="HH676"/>
  <c r="HD676"/>
  <c r="GZ676"/>
  <c r="ER676"/>
  <c r="EN676"/>
  <c r="EJ676"/>
  <c r="EF676"/>
  <c r="EB676"/>
  <c r="DX676"/>
  <c r="DT676"/>
  <c r="DP676"/>
  <c r="DL676"/>
  <c r="DH676"/>
  <c r="DD676"/>
  <c r="HM676"/>
  <c r="HI676"/>
  <c r="HE676"/>
  <c r="HA676"/>
  <c r="ES676"/>
  <c r="EO676"/>
  <c r="EK676"/>
  <c r="EG676"/>
  <c r="EC676"/>
  <c r="DY676"/>
  <c r="DU676"/>
  <c r="DQ676"/>
  <c r="DM676"/>
  <c r="DI676"/>
  <c r="DE676"/>
  <c r="L1491"/>
  <c r="N1491"/>
  <c r="M745"/>
  <c r="I745"/>
  <c r="C868"/>
  <c r="I897"/>
  <c r="G897"/>
  <c r="G1624"/>
  <c r="M1624" s="1"/>
  <c r="K1621"/>
  <c r="K1634"/>
  <c r="K1638"/>
  <c r="D839"/>
  <c r="E868"/>
  <c r="K868"/>
  <c r="M1604"/>
  <c r="G1618"/>
  <c r="M1618" s="1"/>
  <c r="K1615"/>
  <c r="K1619"/>
  <c r="K1629"/>
  <c r="M1629" s="1"/>
  <c r="K1631"/>
  <c r="M1631" s="1"/>
  <c r="G1628"/>
  <c r="G1630"/>
  <c r="M1630" s="1"/>
  <c r="M715"/>
  <c r="G745"/>
  <c r="G750"/>
  <c r="K750"/>
  <c r="O750"/>
  <c r="I755"/>
  <c r="M755"/>
  <c r="I765"/>
  <c r="M765"/>
  <c r="F779"/>
  <c r="K796"/>
  <c r="B839"/>
  <c r="E839"/>
  <c r="I839"/>
  <c r="C839"/>
  <c r="G839"/>
  <c r="K839"/>
  <c r="B897"/>
  <c r="F884"/>
  <c r="J884"/>
  <c r="H884"/>
  <c r="M1623"/>
  <c r="O1365"/>
  <c r="O1548"/>
  <c r="O1572"/>
  <c r="L1521"/>
  <c r="M1605"/>
  <c r="M1619"/>
  <c r="M1611"/>
  <c r="K1608"/>
  <c r="M1608" s="1"/>
  <c r="K1610"/>
  <c r="M1610" s="1"/>
  <c r="G1634"/>
  <c r="G1636"/>
  <c r="M1636" s="1"/>
  <c r="G1638"/>
  <c r="K1635"/>
  <c r="K1637"/>
  <c r="M1637" s="1"/>
  <c r="B868"/>
  <c r="F868"/>
  <c r="J868"/>
  <c r="O1356"/>
  <c r="K1603"/>
  <c r="M1603" s="1"/>
  <c r="G1615"/>
  <c r="G1621"/>
  <c r="N958"/>
  <c r="M958"/>
  <c r="M1628"/>
  <c r="M1635"/>
  <c r="N960"/>
  <c r="M960"/>
  <c r="N959"/>
  <c r="M959"/>
  <c r="N961"/>
  <c r="M961"/>
  <c r="F897"/>
  <c r="H51" i="6"/>
  <c r="F449" i="46"/>
  <c r="F451"/>
  <c r="B884"/>
  <c r="N52" i="6"/>
  <c r="D855" i="46"/>
  <c r="O209" i="11"/>
  <c r="R209" s="1"/>
  <c r="O69"/>
  <c r="U1387" i="46" s="1"/>
  <c r="H868"/>
  <c r="O1405"/>
  <c r="I1521"/>
  <c r="M1606"/>
  <c r="HK679"/>
  <c r="HG679"/>
  <c r="HC679"/>
  <c r="GY679"/>
  <c r="GU679"/>
  <c r="GQ679"/>
  <c r="EU679"/>
  <c r="EQ679"/>
  <c r="EM679"/>
  <c r="EI679"/>
  <c r="EE679"/>
  <c r="EA679"/>
  <c r="DW679"/>
  <c r="DS679"/>
  <c r="DO679"/>
  <c r="DK679"/>
  <c r="DG679"/>
  <c r="DC679"/>
  <c r="CQ679"/>
  <c r="CM679"/>
  <c r="CI679"/>
  <c r="CE679"/>
  <c r="CA679"/>
  <c r="AM679"/>
  <c r="AI679"/>
  <c r="AE679"/>
  <c r="AA679"/>
  <c r="W679"/>
  <c r="HM679"/>
  <c r="HI679"/>
  <c r="HE679"/>
  <c r="HA679"/>
  <c r="GW679"/>
  <c r="GS679"/>
  <c r="GO679"/>
  <c r="ES679"/>
  <c r="EO679"/>
  <c r="EK679"/>
  <c r="EG679"/>
  <c r="EC679"/>
  <c r="DY679"/>
  <c r="DU679"/>
  <c r="DQ679"/>
  <c r="DM679"/>
  <c r="DI679"/>
  <c r="DE679"/>
  <c r="CO679"/>
  <c r="CK679"/>
  <c r="CG679"/>
  <c r="CC679"/>
  <c r="BY679"/>
  <c r="AO679"/>
  <c r="AK679"/>
  <c r="AG679"/>
  <c r="AC679"/>
  <c r="Y679"/>
  <c r="HK680"/>
  <c r="HG680"/>
  <c r="HC680"/>
  <c r="GY680"/>
  <c r="GU680"/>
  <c r="GQ680"/>
  <c r="GM680"/>
  <c r="GI680"/>
  <c r="GE680"/>
  <c r="GA680"/>
  <c r="FW680"/>
  <c r="FS680"/>
  <c r="FO680"/>
  <c r="FK680"/>
  <c r="FG680"/>
  <c r="FC680"/>
  <c r="EY680"/>
  <c r="EU680"/>
  <c r="EQ680"/>
  <c r="EM680"/>
  <c r="EI680"/>
  <c r="EE680"/>
  <c r="EA680"/>
  <c r="DW680"/>
  <c r="DS680"/>
  <c r="DO680"/>
  <c r="DK680"/>
  <c r="DG680"/>
  <c r="DC680"/>
  <c r="CY680"/>
  <c r="CU680"/>
  <c r="CQ680"/>
  <c r="CM680"/>
  <c r="CI680"/>
  <c r="CE680"/>
  <c r="CA680"/>
  <c r="BW680"/>
  <c r="BS680"/>
  <c r="BO680"/>
  <c r="BK680"/>
  <c r="BG680"/>
  <c r="BC680"/>
  <c r="AY680"/>
  <c r="AU680"/>
  <c r="AQ680"/>
  <c r="AM680"/>
  <c r="AI680"/>
  <c r="AE680"/>
  <c r="AA680"/>
  <c r="W680"/>
  <c r="HM680"/>
  <c r="HI680"/>
  <c r="HE680"/>
  <c r="HA680"/>
  <c r="GW680"/>
  <c r="GS680"/>
  <c r="GO680"/>
  <c r="GK680"/>
  <c r="GG680"/>
  <c r="GC680"/>
  <c r="FY680"/>
  <c r="FU680"/>
  <c r="FQ680"/>
  <c r="FM680"/>
  <c r="FI680"/>
  <c r="FE680"/>
  <c r="FA680"/>
  <c r="EW680"/>
  <c r="ES680"/>
  <c r="EO680"/>
  <c r="EK680"/>
  <c r="EG680"/>
  <c r="EC680"/>
  <c r="DY680"/>
  <c r="DU680"/>
  <c r="DQ680"/>
  <c r="DM680"/>
  <c r="DI680"/>
  <c r="DE680"/>
  <c r="DA680"/>
  <c r="CW680"/>
  <c r="CS680"/>
  <c r="CO680"/>
  <c r="CK680"/>
  <c r="CG680"/>
  <c r="CC680"/>
  <c r="BY680"/>
  <c r="BU680"/>
  <c r="BQ680"/>
  <c r="BM680"/>
  <c r="BI680"/>
  <c r="BE680"/>
  <c r="BA680"/>
  <c r="AW680"/>
  <c r="AS680"/>
  <c r="AO680"/>
  <c r="AK680"/>
  <c r="AG680"/>
  <c r="AC680"/>
  <c r="Y680"/>
  <c r="CU679"/>
  <c r="BS679"/>
  <c r="BO679"/>
  <c r="BK679"/>
  <c r="BG679"/>
  <c r="BC679"/>
  <c r="AY679"/>
  <c r="AU679"/>
  <c r="AQ679"/>
  <c r="CW679"/>
  <c r="CS679"/>
  <c r="BQ679"/>
  <c r="BM679"/>
  <c r="BI679"/>
  <c r="BE679"/>
  <c r="BA679"/>
  <c r="AW679"/>
  <c r="AS679"/>
  <c r="GM681"/>
  <c r="GI681"/>
  <c r="GE681"/>
  <c r="GA681"/>
  <c r="FW681"/>
  <c r="FS681"/>
  <c r="FO681"/>
  <c r="FK681"/>
  <c r="FG681"/>
  <c r="FC681"/>
  <c r="EY681"/>
  <c r="GK681"/>
  <c r="GG681"/>
  <c r="GC681"/>
  <c r="FY681"/>
  <c r="FU681"/>
  <c r="FQ681"/>
  <c r="FM681"/>
  <c r="FI681"/>
  <c r="FE681"/>
  <c r="FA681"/>
  <c r="EW681"/>
  <c r="GM677"/>
  <c r="GI677"/>
  <c r="GE677"/>
  <c r="GA677"/>
  <c r="FW677"/>
  <c r="FS677"/>
  <c r="FO677"/>
  <c r="FK677"/>
  <c r="GK677"/>
  <c r="GG677"/>
  <c r="GC677"/>
  <c r="FY677"/>
  <c r="FU677"/>
  <c r="FQ677"/>
  <c r="FM677"/>
  <c r="H897"/>
  <c r="D836"/>
  <c r="C33" i="8"/>
  <c r="O30" i="11"/>
  <c r="U1348" i="46" s="1"/>
  <c r="Q11" i="36"/>
  <c r="Q645" i="46" s="1"/>
  <c r="Q13" i="36"/>
  <c r="Q647" i="46" s="1"/>
  <c r="M52" i="6"/>
  <c r="N49"/>
  <c r="K957" i="46"/>
  <c r="B836"/>
  <c r="G449"/>
  <c r="L678"/>
  <c r="L682" s="1"/>
  <c r="L683" s="1"/>
  <c r="L1549"/>
  <c r="P37" i="15"/>
  <c r="P451" i="46" s="1"/>
  <c r="HK681"/>
  <c r="HG681"/>
  <c r="HC681"/>
  <c r="GY681"/>
  <c r="GU681"/>
  <c r="GQ681"/>
  <c r="EU681"/>
  <c r="EQ681"/>
  <c r="EM681"/>
  <c r="EI681"/>
  <c r="EE681"/>
  <c r="EA681"/>
  <c r="DW681"/>
  <c r="DS681"/>
  <c r="DO681"/>
  <c r="DK681"/>
  <c r="DG681"/>
  <c r="DC681"/>
  <c r="CQ681"/>
  <c r="CM681"/>
  <c r="CI681"/>
  <c r="CE681"/>
  <c r="CA681"/>
  <c r="AM681"/>
  <c r="AI681"/>
  <c r="AE681"/>
  <c r="AA681"/>
  <c r="W681"/>
  <c r="HM681"/>
  <c r="HI681"/>
  <c r="HE681"/>
  <c r="HA681"/>
  <c r="GW681"/>
  <c r="GS681"/>
  <c r="GO681"/>
  <c r="ES681"/>
  <c r="EO681"/>
  <c r="EK681"/>
  <c r="EG681"/>
  <c r="EC681"/>
  <c r="DY681"/>
  <c r="DU681"/>
  <c r="DQ681"/>
  <c r="DM681"/>
  <c r="DI681"/>
  <c r="DE681"/>
  <c r="CO681"/>
  <c r="CK681"/>
  <c r="CG681"/>
  <c r="CC681"/>
  <c r="BY681"/>
  <c r="AO681"/>
  <c r="AK681"/>
  <c r="AG681"/>
  <c r="AC681"/>
  <c r="Y681"/>
  <c r="HK677"/>
  <c r="HG677"/>
  <c r="HC677"/>
  <c r="GY677"/>
  <c r="GU677"/>
  <c r="GQ677"/>
  <c r="HM677"/>
  <c r="HM682" s="1"/>
  <c r="HI677"/>
  <c r="HE677"/>
  <c r="HA677"/>
  <c r="GW677"/>
  <c r="GW682" s="1"/>
  <c r="GS677"/>
  <c r="GO677"/>
  <c r="HK678"/>
  <c r="HG678"/>
  <c r="HC678"/>
  <c r="GY678"/>
  <c r="GU678"/>
  <c r="GQ678"/>
  <c r="GM678"/>
  <c r="GI678"/>
  <c r="GE678"/>
  <c r="GA678"/>
  <c r="FW678"/>
  <c r="FS678"/>
  <c r="FO678"/>
  <c r="FK678"/>
  <c r="FG678"/>
  <c r="FC678"/>
  <c r="EY678"/>
  <c r="EU678"/>
  <c r="EQ678"/>
  <c r="EM678"/>
  <c r="EI678"/>
  <c r="EE678"/>
  <c r="EA678"/>
  <c r="DW678"/>
  <c r="DS678"/>
  <c r="DO678"/>
  <c r="DK678"/>
  <c r="DG678"/>
  <c r="DC678"/>
  <c r="CY678"/>
  <c r="CU678"/>
  <c r="CQ678"/>
  <c r="CM678"/>
  <c r="CI678"/>
  <c r="CE678"/>
  <c r="CA678"/>
  <c r="BW678"/>
  <c r="BW682" s="1"/>
  <c r="K695" s="1"/>
  <c r="BS678"/>
  <c r="BO678"/>
  <c r="BK678"/>
  <c r="BG678"/>
  <c r="BC678"/>
  <c r="AY678"/>
  <c r="AU678"/>
  <c r="AQ678"/>
  <c r="AM678"/>
  <c r="AI678"/>
  <c r="AE678"/>
  <c r="AA678"/>
  <c r="W678"/>
  <c r="HM678"/>
  <c r="HI678"/>
  <c r="HE678"/>
  <c r="HA678"/>
  <c r="GW678"/>
  <c r="GS678"/>
  <c r="GO678"/>
  <c r="GK678"/>
  <c r="GG678"/>
  <c r="GC678"/>
  <c r="FY678"/>
  <c r="FU678"/>
  <c r="FQ678"/>
  <c r="FM678"/>
  <c r="FI678"/>
  <c r="FE678"/>
  <c r="FA678"/>
  <c r="EW678"/>
  <c r="ES678"/>
  <c r="EO678"/>
  <c r="EK678"/>
  <c r="EG678"/>
  <c r="EC678"/>
  <c r="DY678"/>
  <c r="DU678"/>
  <c r="DQ678"/>
  <c r="DM678"/>
  <c r="DI678"/>
  <c r="DE678"/>
  <c r="DA678"/>
  <c r="CW678"/>
  <c r="CS678"/>
  <c r="CO678"/>
  <c r="CK678"/>
  <c r="CG678"/>
  <c r="CC678"/>
  <c r="BY678"/>
  <c r="BU678"/>
  <c r="BQ678"/>
  <c r="BM678"/>
  <c r="BI678"/>
  <c r="BE678"/>
  <c r="BA678"/>
  <c r="AW678"/>
  <c r="AS678"/>
  <c r="AO678"/>
  <c r="AK678"/>
  <c r="AK682" s="1"/>
  <c r="H693" s="1"/>
  <c r="AG678"/>
  <c r="AC678"/>
  <c r="Y678"/>
  <c r="CU681"/>
  <c r="BS681"/>
  <c r="BO681"/>
  <c r="BK681"/>
  <c r="BG681"/>
  <c r="BC681"/>
  <c r="AY681"/>
  <c r="AU681"/>
  <c r="AQ681"/>
  <c r="CW681"/>
  <c r="CS681"/>
  <c r="BQ681"/>
  <c r="BM681"/>
  <c r="BI681"/>
  <c r="BE681"/>
  <c r="BA681"/>
  <c r="AW681"/>
  <c r="AS681"/>
  <c r="GM679"/>
  <c r="GI679"/>
  <c r="GE679"/>
  <c r="GA679"/>
  <c r="FW679"/>
  <c r="FS679"/>
  <c r="FO679"/>
  <c r="FK679"/>
  <c r="FG679"/>
  <c r="FC679"/>
  <c r="EY679"/>
  <c r="GK679"/>
  <c r="GG679"/>
  <c r="GC679"/>
  <c r="FY679"/>
  <c r="FU679"/>
  <c r="FQ679"/>
  <c r="FM679"/>
  <c r="FI679"/>
  <c r="FE679"/>
  <c r="FA679"/>
  <c r="EW679"/>
  <c r="J897"/>
  <c r="F53" i="6"/>
  <c r="Q10" i="36"/>
  <c r="Q644" i="46" s="1"/>
  <c r="F960"/>
  <c r="F962" s="1"/>
  <c r="N51" i="6"/>
  <c r="N50"/>
  <c r="F682" i="46"/>
  <c r="L680"/>
  <c r="M716"/>
  <c r="A716" s="1"/>
  <c r="G755"/>
  <c r="K755"/>
  <c r="O755"/>
  <c r="G765"/>
  <c r="K765"/>
  <c r="O765"/>
  <c r="M1602"/>
  <c r="G1617"/>
  <c r="M1617" s="1"/>
  <c r="K1622"/>
  <c r="M1622" s="1"/>
  <c r="F788"/>
  <c r="O1443"/>
  <c r="G1444"/>
  <c r="B837"/>
  <c r="F84" i="8"/>
  <c r="F888" i="46" s="1"/>
  <c r="E26" i="8"/>
  <c r="E830" i="46" s="1"/>
  <c r="K55" i="8"/>
  <c r="K859" i="46" s="1"/>
  <c r="C84" i="8"/>
  <c r="C888" i="46" s="1"/>
  <c r="D84" i="8"/>
  <c r="D888" i="46" s="1"/>
  <c r="J84" i="8"/>
  <c r="J888" i="46" s="1"/>
  <c r="C55" i="8"/>
  <c r="C859" i="46" s="1"/>
  <c r="G84" i="8"/>
  <c r="G888" i="46" s="1"/>
  <c r="H84" i="8"/>
  <c r="H888" i="46" s="1"/>
  <c r="E827"/>
  <c r="E33" i="8"/>
  <c r="F23"/>
  <c r="E834" i="46"/>
  <c r="C837"/>
  <c r="C844"/>
  <c r="J162" i="15"/>
  <c r="E36" i="8"/>
  <c r="D840" i="46"/>
  <c r="C840"/>
  <c r="L1458"/>
  <c r="Q1367"/>
  <c r="R30" i="11"/>
  <c r="P157" i="36"/>
  <c r="F119" i="15" s="1"/>
  <c r="P93" i="46"/>
  <c r="N149" i="36"/>
  <c r="N148"/>
  <c r="L48"/>
  <c r="L49" s="1"/>
  <c r="B14" i="8" s="1"/>
  <c r="F26"/>
  <c r="D55"/>
  <c r="B84"/>
  <c r="I26"/>
  <c r="G55"/>
  <c r="J26"/>
  <c r="H55"/>
  <c r="C26"/>
  <c r="G26"/>
  <c r="K26"/>
  <c r="E55"/>
  <c r="I55"/>
  <c r="D26"/>
  <c r="H26"/>
  <c r="B55"/>
  <c r="F55"/>
  <c r="J55"/>
  <c r="B26"/>
  <c r="D844" i="46"/>
  <c r="E40" i="8"/>
  <c r="H58"/>
  <c r="B87"/>
  <c r="F87"/>
  <c r="J87"/>
  <c r="E58"/>
  <c r="I58"/>
  <c r="C87"/>
  <c r="G87"/>
  <c r="K87"/>
  <c r="B58"/>
  <c r="F58"/>
  <c r="J58"/>
  <c r="D87"/>
  <c r="H87"/>
  <c r="BA682" i="46" l="1"/>
  <c r="I698" s="1"/>
  <c r="BQ682"/>
  <c r="J702" s="1"/>
  <c r="CG682"/>
  <c r="K729" s="1"/>
  <c r="CW682"/>
  <c r="DM682"/>
  <c r="AA682"/>
  <c r="H691" s="1"/>
  <c r="CM682"/>
  <c r="DS682"/>
  <c r="I709" s="1"/>
  <c r="EI682"/>
  <c r="J712" s="1"/>
  <c r="GQ682"/>
  <c r="HG682"/>
  <c r="FM682"/>
  <c r="J725" s="1"/>
  <c r="GC682"/>
  <c r="K720" s="1"/>
  <c r="BE682"/>
  <c r="HH682"/>
  <c r="BR682"/>
  <c r="K702" s="1"/>
  <c r="DP682"/>
  <c r="EV682"/>
  <c r="GB682"/>
  <c r="J720" s="1"/>
  <c r="CH682"/>
  <c r="L729" s="1"/>
  <c r="AH682"/>
  <c r="FT682"/>
  <c r="L724" s="1"/>
  <c r="FF682"/>
  <c r="H726" s="1"/>
  <c r="GL682"/>
  <c r="J722" s="1"/>
  <c r="CT682"/>
  <c r="BD682"/>
  <c r="L698" s="1"/>
  <c r="CV682"/>
  <c r="BB682"/>
  <c r="J698" s="1"/>
  <c r="AG682"/>
  <c r="BV682"/>
  <c r="J695" s="1"/>
  <c r="FN682"/>
  <c r="K725" s="1"/>
  <c r="Z682"/>
  <c r="L690" s="1"/>
  <c r="CP682"/>
  <c r="J731" s="1"/>
  <c r="DR682"/>
  <c r="H709" s="1"/>
  <c r="EH682"/>
  <c r="I712" s="1"/>
  <c r="HF682"/>
  <c r="CF682"/>
  <c r="J729" s="1"/>
  <c r="DD682"/>
  <c r="I706" s="1"/>
  <c r="DT682"/>
  <c r="J709" s="1"/>
  <c r="EJ682"/>
  <c r="K712" s="1"/>
  <c r="HL682"/>
  <c r="DZ682"/>
  <c r="K710" s="1"/>
  <c r="GX682"/>
  <c r="DL682"/>
  <c r="L707" s="1"/>
  <c r="CB682"/>
  <c r="K728" s="1"/>
  <c r="ED682"/>
  <c r="P791"/>
  <c r="M1621"/>
  <c r="AX682"/>
  <c r="K699" s="1"/>
  <c r="BN682"/>
  <c r="L703" s="1"/>
  <c r="X682"/>
  <c r="J690" s="1"/>
  <c r="CN682"/>
  <c r="H731" s="1"/>
  <c r="ER682"/>
  <c r="HD682"/>
  <c r="S544"/>
  <c r="DN682"/>
  <c r="BU682"/>
  <c r="I695" s="1"/>
  <c r="DA682"/>
  <c r="K733" s="1"/>
  <c r="GG682"/>
  <c r="J721" s="1"/>
  <c r="BC682"/>
  <c r="K698" s="1"/>
  <c r="M1634"/>
  <c r="GN682"/>
  <c r="L722" s="1"/>
  <c r="FH682"/>
  <c r="J726" s="1"/>
  <c r="FJ682"/>
  <c r="L726" s="1"/>
  <c r="FZ682"/>
  <c r="H720" s="1"/>
  <c r="FB682"/>
  <c r="I723" s="1"/>
  <c r="AT682"/>
  <c r="BJ682"/>
  <c r="H703" s="1"/>
  <c r="AP682"/>
  <c r="BF682"/>
  <c r="DC682"/>
  <c r="H706" s="1"/>
  <c r="EY682"/>
  <c r="EX682"/>
  <c r="GD682"/>
  <c r="L720" s="1"/>
  <c r="FR682"/>
  <c r="J724" s="1"/>
  <c r="AV682"/>
  <c r="I699" s="1"/>
  <c r="BL682"/>
  <c r="J703" s="1"/>
  <c r="AN682"/>
  <c r="K693" s="1"/>
  <c r="DJ682"/>
  <c r="J707" s="1"/>
  <c r="EP682"/>
  <c r="L713" s="1"/>
  <c r="AD682"/>
  <c r="K691" s="1"/>
  <c r="CD682"/>
  <c r="H729" s="1"/>
  <c r="DF682"/>
  <c r="K706" s="1"/>
  <c r="DV682"/>
  <c r="L709" s="1"/>
  <c r="GT682"/>
  <c r="HJ682"/>
  <c r="AJ682"/>
  <c r="DH682"/>
  <c r="H707" s="1"/>
  <c r="H708" s="1"/>
  <c r="DX682"/>
  <c r="I710" s="1"/>
  <c r="EN682"/>
  <c r="J713" s="1"/>
  <c r="GZ682"/>
  <c r="CL682"/>
  <c r="ET682"/>
  <c r="CR682"/>
  <c r="L731" s="1"/>
  <c r="EF682"/>
  <c r="GR682"/>
  <c r="EB682"/>
  <c r="I53" i="6"/>
  <c r="P47" s="1"/>
  <c r="O1608" i="46"/>
  <c r="K700"/>
  <c r="J704"/>
  <c r="K730"/>
  <c r="FI682"/>
  <c r="K726" s="1"/>
  <c r="BG682"/>
  <c r="CJ682"/>
  <c r="CC682"/>
  <c r="L728" s="1"/>
  <c r="L730" s="1"/>
  <c r="CS682"/>
  <c r="DY682"/>
  <c r="J710" s="1"/>
  <c r="J711" s="1"/>
  <c r="CI682"/>
  <c r="EU682"/>
  <c r="F450"/>
  <c r="GE682"/>
  <c r="H721" s="1"/>
  <c r="CA682"/>
  <c r="J728" s="1"/>
  <c r="J730" s="1"/>
  <c r="J732" s="1"/>
  <c r="J734" s="1"/>
  <c r="P36" i="15"/>
  <c r="BZ682" i="46"/>
  <c r="I728" s="1"/>
  <c r="GV682"/>
  <c r="AC682"/>
  <c r="J691" s="1"/>
  <c r="J692" s="1"/>
  <c r="AS682"/>
  <c r="BI682"/>
  <c r="BY682"/>
  <c r="H728" s="1"/>
  <c r="CO682"/>
  <c r="I731" s="1"/>
  <c r="DE682"/>
  <c r="J706" s="1"/>
  <c r="DU682"/>
  <c r="K709" s="1"/>
  <c r="EK682"/>
  <c r="L712" s="1"/>
  <c r="FA682"/>
  <c r="H723" s="1"/>
  <c r="FQ682"/>
  <c r="I724" s="1"/>
  <c r="AI682"/>
  <c r="AY682"/>
  <c r="L699" s="1"/>
  <c r="L700" s="1"/>
  <c r="BO682"/>
  <c r="H702" s="1"/>
  <c r="H704" s="1"/>
  <c r="CE682"/>
  <c r="I729" s="1"/>
  <c r="CU682"/>
  <c r="DK682"/>
  <c r="K707" s="1"/>
  <c r="K708" s="1"/>
  <c r="EA682"/>
  <c r="L710" s="1"/>
  <c r="EQ682"/>
  <c r="FG682"/>
  <c r="I726" s="1"/>
  <c r="HC682"/>
  <c r="GS682"/>
  <c r="HI682"/>
  <c r="GY682"/>
  <c r="ES682"/>
  <c r="J714" s="1"/>
  <c r="HA682"/>
  <c r="G38" i="15"/>
  <c r="FY682" i="46"/>
  <c r="L719" s="1"/>
  <c r="M1615"/>
  <c r="O1615" s="1"/>
  <c r="J544"/>
  <c r="J561" s="1"/>
  <c r="J563" s="1"/>
  <c r="J565" s="1"/>
  <c r="J567" s="1"/>
  <c r="J569" s="1"/>
  <c r="BM682"/>
  <c r="K703" s="1"/>
  <c r="K704" s="1"/>
  <c r="DI682"/>
  <c r="I707" s="1"/>
  <c r="I708" s="1"/>
  <c r="EO682"/>
  <c r="K713" s="1"/>
  <c r="K714" s="1"/>
  <c r="W682"/>
  <c r="I690" s="1"/>
  <c r="I692" s="1"/>
  <c r="I694" s="1"/>
  <c r="I696" s="1"/>
  <c r="AM682"/>
  <c r="J693" s="1"/>
  <c r="CY682"/>
  <c r="I733" s="1"/>
  <c r="M733" s="1"/>
  <c r="Q733" s="1"/>
  <c r="EE682"/>
  <c r="FO682"/>
  <c r="L725" s="1"/>
  <c r="GP682"/>
  <c r="AF682"/>
  <c r="AO682"/>
  <c r="L693" s="1"/>
  <c r="CK682"/>
  <c r="DQ682"/>
  <c r="EW682"/>
  <c r="AE682"/>
  <c r="L691" s="1"/>
  <c r="L692" s="1"/>
  <c r="L694" s="1"/>
  <c r="L696" s="1"/>
  <c r="AU682"/>
  <c r="H699" s="1"/>
  <c r="H700" s="1"/>
  <c r="DG682"/>
  <c r="L706" s="1"/>
  <c r="DW682"/>
  <c r="H710" s="1"/>
  <c r="H711" s="1"/>
  <c r="EM682"/>
  <c r="I713" s="1"/>
  <c r="I714" s="1"/>
  <c r="HE682"/>
  <c r="GU682"/>
  <c r="HK682"/>
  <c r="G452"/>
  <c r="B458" s="1"/>
  <c r="F458" s="1"/>
  <c r="N53" i="6"/>
  <c r="FW682" i="46"/>
  <c r="J719" s="1"/>
  <c r="GM682"/>
  <c r="K722" s="1"/>
  <c r="K718" s="1"/>
  <c r="M1638"/>
  <c r="O1634" s="1"/>
  <c r="M544"/>
  <c r="M561" s="1"/>
  <c r="M563" s="1"/>
  <c r="M565" s="1"/>
  <c r="M567" s="1"/>
  <c r="M569" s="1"/>
  <c r="M707"/>
  <c r="Q707" s="1"/>
  <c r="H730"/>
  <c r="J694"/>
  <c r="J696" s="1"/>
  <c r="M729"/>
  <c r="Q729" s="1"/>
  <c r="I700"/>
  <c r="M698"/>
  <c r="Q698" s="1"/>
  <c r="H692"/>
  <c r="M713"/>
  <c r="Q713" s="1"/>
  <c r="P457"/>
  <c r="J718"/>
  <c r="M695"/>
  <c r="Q695" s="1"/>
  <c r="K711"/>
  <c r="EC682"/>
  <c r="I711" s="1"/>
  <c r="AQ682"/>
  <c r="FU682"/>
  <c r="H719" s="1"/>
  <c r="GK682"/>
  <c r="I722" s="1"/>
  <c r="I960"/>
  <c r="I962" s="1"/>
  <c r="H960"/>
  <c r="J160" i="15"/>
  <c r="J574" i="46"/>
  <c r="P956"/>
  <c r="B44" i="15"/>
  <c r="L26" i="3"/>
  <c r="O1621" i="46"/>
  <c r="AW682"/>
  <c r="J699" s="1"/>
  <c r="J700" s="1"/>
  <c r="FE682"/>
  <c r="L723" s="1"/>
  <c r="BS682"/>
  <c r="L702" s="1"/>
  <c r="L704" s="1"/>
  <c r="DO682"/>
  <c r="J708" s="1"/>
  <c r="FS682"/>
  <c r="K724" s="1"/>
  <c r="M724" s="1"/>
  <c r="Q724" s="1"/>
  <c r="GI682"/>
  <c r="L721" s="1"/>
  <c r="L718" s="1"/>
  <c r="I730"/>
  <c r="O1628"/>
  <c r="K962"/>
  <c r="N957"/>
  <c r="N962" s="1"/>
  <c r="M957"/>
  <c r="P450"/>
  <c r="P452" s="1"/>
  <c r="P38" i="15"/>
  <c r="O1602" i="46"/>
  <c r="Y682"/>
  <c r="K690" s="1"/>
  <c r="K692" s="1"/>
  <c r="K694" s="1"/>
  <c r="K696" s="1"/>
  <c r="EG682"/>
  <c r="H712" s="1"/>
  <c r="M712" s="1"/>
  <c r="Q712" s="1"/>
  <c r="BK682"/>
  <c r="I703" s="1"/>
  <c r="CQ682"/>
  <c r="K731" s="1"/>
  <c r="FC682"/>
  <c r="J723" s="1"/>
  <c r="GO682"/>
  <c r="FK682"/>
  <c r="H725" s="1"/>
  <c r="M725" s="1"/>
  <c r="Q725" s="1"/>
  <c r="GA682"/>
  <c r="I720" s="1"/>
  <c r="G23" i="8"/>
  <c r="F827" i="46"/>
  <c r="F33" i="8"/>
  <c r="E837" i="46"/>
  <c r="E836"/>
  <c r="E835"/>
  <c r="E838"/>
  <c r="E840"/>
  <c r="F36" i="8"/>
  <c r="P165" i="36"/>
  <c r="N157"/>
  <c r="B19" i="8"/>
  <c r="K77" s="1"/>
  <c r="H104" i="36"/>
  <c r="O104" s="1"/>
  <c r="F72" i="8"/>
  <c r="J43"/>
  <c r="B43"/>
  <c r="C14"/>
  <c r="K43"/>
  <c r="E14"/>
  <c r="F14"/>
  <c r="I14"/>
  <c r="I43"/>
  <c r="D72"/>
  <c r="H14"/>
  <c r="G14"/>
  <c r="J72"/>
  <c r="G72"/>
  <c r="H43"/>
  <c r="G43"/>
  <c r="D43"/>
  <c r="D14"/>
  <c r="E72"/>
  <c r="E43"/>
  <c r="J14"/>
  <c r="H72"/>
  <c r="C72"/>
  <c r="K14"/>
  <c r="B72"/>
  <c r="F43"/>
  <c r="I72"/>
  <c r="C43"/>
  <c r="K72"/>
  <c r="G859" i="46"/>
  <c r="I830"/>
  <c r="B888"/>
  <c r="H859"/>
  <c r="J830"/>
  <c r="D859"/>
  <c r="F830"/>
  <c r="D830"/>
  <c r="G830"/>
  <c r="F859"/>
  <c r="I859"/>
  <c r="C830"/>
  <c r="C39" i="8"/>
  <c r="C843" i="46" s="1"/>
  <c r="B859"/>
  <c r="E859"/>
  <c r="B830"/>
  <c r="F120" i="15"/>
  <c r="H830" i="46"/>
  <c r="K830"/>
  <c r="J859"/>
  <c r="F862"/>
  <c r="F891"/>
  <c r="H891"/>
  <c r="B862"/>
  <c r="I862"/>
  <c r="B891"/>
  <c r="B98" i="8"/>
  <c r="B902" i="46" s="1"/>
  <c r="F40" i="8"/>
  <c r="F844" i="46" s="1"/>
  <c r="E844"/>
  <c r="D891"/>
  <c r="H862"/>
  <c r="K891"/>
  <c r="E862"/>
  <c r="J862"/>
  <c r="G891"/>
  <c r="J891"/>
  <c r="C891"/>
  <c r="M706" l="1"/>
  <c r="Q706" s="1"/>
  <c r="M693"/>
  <c r="Q693" s="1"/>
  <c r="M726"/>
  <c r="Q726" s="1"/>
  <c r="M709"/>
  <c r="Q709" s="1"/>
  <c r="H77" i="8"/>
  <c r="M722" i="46"/>
  <c r="M721"/>
  <c r="L711"/>
  <c r="M723"/>
  <c r="Q723" s="1"/>
  <c r="L714"/>
  <c r="L732"/>
  <c r="L734" s="1"/>
  <c r="M731"/>
  <c r="Q731" s="1"/>
  <c r="I732"/>
  <c r="I734" s="1"/>
  <c r="K732"/>
  <c r="K734" s="1"/>
  <c r="J458"/>
  <c r="J457"/>
  <c r="M710"/>
  <c r="Q710" s="1"/>
  <c r="M728"/>
  <c r="Q728" s="1"/>
  <c r="L708"/>
  <c r="M708" s="1"/>
  <c r="Q708" s="1"/>
  <c r="C98" i="8"/>
  <c r="C902" i="46" s="1"/>
  <c r="P1621"/>
  <c r="F457"/>
  <c r="M711"/>
  <c r="Q711" s="1"/>
  <c r="M691"/>
  <c r="Q691" s="1"/>
  <c r="L382"/>
  <c r="L383" s="1"/>
  <c r="L27" i="3"/>
  <c r="H732" i="46"/>
  <c r="M730"/>
  <c r="Q730" s="1"/>
  <c r="M704"/>
  <c r="Q704" s="1"/>
  <c r="M700"/>
  <c r="Q700" s="1"/>
  <c r="I704"/>
  <c r="M703"/>
  <c r="Q703" s="1"/>
  <c r="H718"/>
  <c r="M718" s="1"/>
  <c r="Q718" s="1"/>
  <c r="M719"/>
  <c r="H714"/>
  <c r="M714" s="1"/>
  <c r="Q714" s="1"/>
  <c r="H694"/>
  <c r="M692"/>
  <c r="Q692" s="1"/>
  <c r="M720"/>
  <c r="I718"/>
  <c r="G47" i="15"/>
  <c r="F43"/>
  <c r="P43"/>
  <c r="F44"/>
  <c r="J43"/>
  <c r="J44"/>
  <c r="P1615" i="46"/>
  <c r="M699"/>
  <c r="Q699" s="1"/>
  <c r="M702"/>
  <c r="Q702" s="1"/>
  <c r="M690"/>
  <c r="Q690" s="1"/>
  <c r="F837"/>
  <c r="F835"/>
  <c r="F836"/>
  <c r="G827"/>
  <c r="G838" s="1"/>
  <c r="G33" i="8"/>
  <c r="H23"/>
  <c r="F840" i="46"/>
  <c r="G36" i="8"/>
  <c r="H19"/>
  <c r="E48"/>
  <c r="C19"/>
  <c r="I48"/>
  <c r="H48"/>
  <c r="D77"/>
  <c r="B77"/>
  <c r="E77"/>
  <c r="I77"/>
  <c r="F77"/>
  <c r="B48"/>
  <c r="I19"/>
  <c r="F48"/>
  <c r="E19"/>
  <c r="J19"/>
  <c r="K48"/>
  <c r="G19"/>
  <c r="D19"/>
  <c r="J77"/>
  <c r="J48"/>
  <c r="G77"/>
  <c r="C48"/>
  <c r="C77"/>
  <c r="F19"/>
  <c r="K19"/>
  <c r="D48"/>
  <c r="G48"/>
  <c r="B15"/>
  <c r="B16" s="1"/>
  <c r="H738" i="46"/>
  <c r="O738" s="1"/>
  <c r="F838"/>
  <c r="F834"/>
  <c r="D838"/>
  <c r="D834"/>
  <c r="C838"/>
  <c r="C834"/>
  <c r="B834"/>
  <c r="B838"/>
  <c r="D39" i="8"/>
  <c r="D98" l="1"/>
  <c r="G461" i="46"/>
  <c r="P47" i="15"/>
  <c r="F47"/>
  <c r="G130"/>
  <c r="H696" i="46"/>
  <c r="M696" s="1"/>
  <c r="M694"/>
  <c r="Q694" s="1"/>
  <c r="C15" i="8"/>
  <c r="C16" s="1"/>
  <c r="C22" s="1"/>
  <c r="J73"/>
  <c r="K5"/>
  <c r="J15"/>
  <c r="J16" s="1"/>
  <c r="B44"/>
  <c r="B45" s="1"/>
  <c r="E44"/>
  <c r="E45" s="1"/>
  <c r="M732" i="46"/>
  <c r="Q732" s="1"/>
  <c r="H734"/>
  <c r="M734" s="1"/>
  <c r="Q734" s="1"/>
  <c r="H73" i="8"/>
  <c r="H74" s="1"/>
  <c r="H44"/>
  <c r="G836" i="46"/>
  <c r="G837"/>
  <c r="G835"/>
  <c r="G834"/>
  <c r="H827"/>
  <c r="I23" i="8"/>
  <c r="H33"/>
  <c r="H36"/>
  <c r="G840" i="46"/>
  <c r="B22" i="8"/>
  <c r="E15"/>
  <c r="E16" s="1"/>
  <c r="E35" s="1"/>
  <c r="K73"/>
  <c r="J44"/>
  <c r="J45" s="1"/>
  <c r="J51" s="1"/>
  <c r="C44"/>
  <c r="C45" s="1"/>
  <c r="I44"/>
  <c r="K15"/>
  <c r="E73"/>
  <c r="E74" s="1"/>
  <c r="B35"/>
  <c r="G73"/>
  <c r="K44"/>
  <c r="K45" s="1"/>
  <c r="K64" s="1"/>
  <c r="D44"/>
  <c r="D45" s="1"/>
  <c r="D51" s="1"/>
  <c r="C73"/>
  <c r="C74" s="1"/>
  <c r="C93" s="1"/>
  <c r="D73"/>
  <c r="D15"/>
  <c r="D16" s="1"/>
  <c r="D35" s="1"/>
  <c r="I73"/>
  <c r="I74" s="1"/>
  <c r="I93" s="1"/>
  <c r="K7"/>
  <c r="G44"/>
  <c r="G45" s="1"/>
  <c r="G51" s="1"/>
  <c r="H15"/>
  <c r="H16" s="1"/>
  <c r="F44"/>
  <c r="F73"/>
  <c r="F74" s="1"/>
  <c r="F15"/>
  <c r="F16" s="1"/>
  <c r="B73"/>
  <c r="B74" s="1"/>
  <c r="I15"/>
  <c r="I16" s="1"/>
  <c r="G15"/>
  <c r="G16" s="1"/>
  <c r="G22" s="1"/>
  <c r="E22"/>
  <c r="E34" s="1"/>
  <c r="G64"/>
  <c r="B64"/>
  <c r="F35"/>
  <c r="K74"/>
  <c r="K80" s="1"/>
  <c r="D74"/>
  <c r="D80" s="1"/>
  <c r="E64"/>
  <c r="F45"/>
  <c r="F51" s="1"/>
  <c r="F80"/>
  <c r="B51"/>
  <c r="I45"/>
  <c r="I51" s="1"/>
  <c r="J74"/>
  <c r="J80" s="1"/>
  <c r="H93"/>
  <c r="D93"/>
  <c r="G74"/>
  <c r="G80" s="1"/>
  <c r="F93"/>
  <c r="K16"/>
  <c r="K35" s="1"/>
  <c r="F22"/>
  <c r="H80"/>
  <c r="C80"/>
  <c r="H45"/>
  <c r="H51" s="1"/>
  <c r="D843" i="46"/>
  <c r="E39" i="8"/>
  <c r="E98"/>
  <c r="D902" i="46"/>
  <c r="E31" i="8" l="1"/>
  <c r="B93"/>
  <c r="J35"/>
  <c r="E51"/>
  <c r="J22"/>
  <c r="D22"/>
  <c r="D31" s="1"/>
  <c r="C32"/>
  <c r="C34"/>
  <c r="D32"/>
  <c r="D34"/>
  <c r="Q696" i="46"/>
  <c r="Q687" s="1"/>
  <c r="J793"/>
  <c r="J791"/>
  <c r="P794"/>
  <c r="P799" s="1"/>
  <c r="J792"/>
  <c r="N782"/>
  <c r="N783"/>
  <c r="N791"/>
  <c r="F461"/>
  <c r="G544"/>
  <c r="E93" i="8"/>
  <c r="P461" i="46"/>
  <c r="P544" s="1"/>
  <c r="P561" s="1"/>
  <c r="P563" s="1"/>
  <c r="P565" s="1"/>
  <c r="P567" s="1"/>
  <c r="P569" s="1"/>
  <c r="J570" s="1"/>
  <c r="P130" i="15"/>
  <c r="P147" s="1"/>
  <c r="P149" s="1"/>
  <c r="P151" s="1"/>
  <c r="P153" s="1"/>
  <c r="P155" s="1"/>
  <c r="J156" s="1"/>
  <c r="I64" i="8"/>
  <c r="E80"/>
  <c r="I22"/>
  <c r="I34" s="1"/>
  <c r="J64"/>
  <c r="F32"/>
  <c r="F34"/>
  <c r="G32"/>
  <c r="G34"/>
  <c r="B32"/>
  <c r="B34"/>
  <c r="I205" i="11"/>
  <c r="D132" i="15"/>
  <c r="H406" i="46"/>
  <c r="H50" i="3"/>
  <c r="P962" i="46"/>
  <c r="P53" i="6"/>
  <c r="J161" i="15"/>
  <c r="I1523" i="46"/>
  <c r="G132" i="15"/>
  <c r="I35" i="8"/>
  <c r="I827" i="46"/>
  <c r="J23" i="8"/>
  <c r="I33"/>
  <c r="H836" i="46"/>
  <c r="H835"/>
  <c r="H837"/>
  <c r="H838"/>
  <c r="H834"/>
  <c r="I32" i="8"/>
  <c r="H840" i="46"/>
  <c r="I36" i="8"/>
  <c r="B30"/>
  <c r="B31"/>
  <c r="E30"/>
  <c r="E32"/>
  <c r="C51"/>
  <c r="C64"/>
  <c r="H22"/>
  <c r="H34" s="1"/>
  <c r="H35"/>
  <c r="D64"/>
  <c r="C35"/>
  <c r="B80"/>
  <c r="G35"/>
  <c r="G30"/>
  <c r="G31"/>
  <c r="F64"/>
  <c r="K93"/>
  <c r="K22"/>
  <c r="H64"/>
  <c r="H31"/>
  <c r="K51"/>
  <c r="I80"/>
  <c r="F31"/>
  <c r="F30"/>
  <c r="G93"/>
  <c r="I31"/>
  <c r="J93"/>
  <c r="C31"/>
  <c r="C30"/>
  <c r="F39"/>
  <c r="E843" i="46"/>
  <c r="E902"/>
  <c r="F98" i="8"/>
  <c r="I30" l="1"/>
  <c r="D30"/>
  <c r="I1524" i="46"/>
  <c r="O1508" s="1"/>
  <c r="O1501" s="1"/>
  <c r="O1670" s="1"/>
  <c r="O1324" s="1"/>
  <c r="L1524"/>
  <c r="P1508" s="1"/>
  <c r="P1501" s="1"/>
  <c r="P1670" s="1"/>
  <c r="J575"/>
  <c r="G160" i="15"/>
  <c r="J163"/>
  <c r="J165" s="1"/>
  <c r="J167" s="1"/>
  <c r="J169" s="1"/>
  <c r="O397" i="46"/>
  <c r="O399" s="1"/>
  <c r="O398"/>
  <c r="H407"/>
  <c r="G546"/>
  <c r="D546"/>
  <c r="H51" i="3"/>
  <c r="O42"/>
  <c r="O41"/>
  <c r="L206" i="11"/>
  <c r="P190" s="1"/>
  <c r="P183" s="1"/>
  <c r="P352" s="1"/>
  <c r="I206"/>
  <c r="O190" s="1"/>
  <c r="O183" s="1"/>
  <c r="K23" i="8"/>
  <c r="J33"/>
  <c r="J827" i="46"/>
  <c r="J34" i="8"/>
  <c r="I835" i="46"/>
  <c r="I837"/>
  <c r="I836"/>
  <c r="I834"/>
  <c r="I838"/>
  <c r="J30" i="8"/>
  <c r="J31"/>
  <c r="J32"/>
  <c r="I840" i="46"/>
  <c r="J36" i="8"/>
  <c r="H30"/>
  <c r="H32"/>
  <c r="K30"/>
  <c r="K32"/>
  <c r="K31"/>
  <c r="F843" i="46"/>
  <c r="G39" i="8"/>
  <c r="F902" i="46"/>
  <c r="G98" i="8"/>
  <c r="P1674" i="46" l="1"/>
  <c r="P1324"/>
  <c r="O43" i="3"/>
  <c r="P6" i="11"/>
  <c r="P356"/>
  <c r="J173" i="15"/>
  <c r="M171"/>
  <c r="U1501" i="46"/>
  <c r="U1670" s="1"/>
  <c r="U1324" s="1"/>
  <c r="O352" i="11"/>
  <c r="O6" s="1"/>
  <c r="G574" i="46"/>
  <c r="J577"/>
  <c r="J579" s="1"/>
  <c r="J581" s="1"/>
  <c r="J583" s="1"/>
  <c r="J835"/>
  <c r="J836"/>
  <c r="J837"/>
  <c r="J838"/>
  <c r="J834"/>
  <c r="K33" i="8"/>
  <c r="B52"/>
  <c r="K827" i="46"/>
  <c r="K34" i="8"/>
  <c r="K36"/>
  <c r="J840" i="46"/>
  <c r="G843"/>
  <c r="H39" i="8"/>
  <c r="G902" i="46"/>
  <c r="H98" i="8"/>
  <c r="M585" i="46" l="1"/>
  <c r="J587"/>
  <c r="J397"/>
  <c r="L397" s="1"/>
  <c r="J396"/>
  <c r="L396" s="1"/>
  <c r="J40" i="3"/>
  <c r="L40" s="1"/>
  <c r="J6" i="7"/>
  <c r="J41" i="3"/>
  <c r="L41" s="1"/>
  <c r="E99" i="15"/>
  <c r="K835" i="46"/>
  <c r="K837"/>
  <c r="K836"/>
  <c r="K834"/>
  <c r="K838"/>
  <c r="C52" i="8"/>
  <c r="B62"/>
  <c r="B856" i="46"/>
  <c r="B63" i="8"/>
  <c r="B59"/>
  <c r="B61"/>
  <c r="B60"/>
  <c r="B65"/>
  <c r="K840" i="46"/>
  <c r="H843"/>
  <c r="I39" i="8"/>
  <c r="I98"/>
  <c r="H902" i="46"/>
  <c r="B864" l="1"/>
  <c r="B866"/>
  <c r="B865"/>
  <c r="B867"/>
  <c r="B863"/>
  <c r="C63" i="8"/>
  <c r="D52"/>
  <c r="C856" i="46"/>
  <c r="C62" i="8"/>
  <c r="C60"/>
  <c r="C59"/>
  <c r="C61"/>
  <c r="C65"/>
  <c r="B869" i="46"/>
  <c r="J39" i="8"/>
  <c r="I843" i="46"/>
  <c r="I902"/>
  <c r="J98" i="8"/>
  <c r="C867" i="46" l="1"/>
  <c r="C864"/>
  <c r="C865"/>
  <c r="C866"/>
  <c r="C863"/>
  <c r="E52" i="8"/>
  <c r="D62"/>
  <c r="D856" i="46"/>
  <c r="D63" i="8"/>
  <c r="D60"/>
  <c r="D59"/>
  <c r="D61"/>
  <c r="C869" i="46"/>
  <c r="D65" i="8"/>
  <c r="J843" i="46"/>
  <c r="K39" i="8"/>
  <c r="J902" i="46"/>
  <c r="K98" i="8"/>
  <c r="K902" i="46" s="1"/>
  <c r="D864" l="1"/>
  <c r="D866"/>
  <c r="D865"/>
  <c r="D867"/>
  <c r="D863"/>
  <c r="E62" i="8"/>
  <c r="F52"/>
  <c r="E856" i="46"/>
  <c r="E63" i="8"/>
  <c r="E60"/>
  <c r="E61"/>
  <c r="E59"/>
  <c r="E65"/>
  <c r="D869" i="46"/>
  <c r="K843"/>
  <c r="B68" i="8"/>
  <c r="E864" i="46" l="1"/>
  <c r="E865"/>
  <c r="E866"/>
  <c r="E863"/>
  <c r="E867"/>
  <c r="F856"/>
  <c r="G52" i="8"/>
  <c r="F62"/>
  <c r="F63"/>
  <c r="F61"/>
  <c r="F60"/>
  <c r="F59"/>
  <c r="F65"/>
  <c r="E869" i="46"/>
  <c r="B872"/>
  <c r="C68" i="8"/>
  <c r="G62" l="1"/>
  <c r="G856" i="46"/>
  <c r="H52" i="8"/>
  <c r="G63"/>
  <c r="G61"/>
  <c r="G59"/>
  <c r="G60"/>
  <c r="F866" i="46"/>
  <c r="F864"/>
  <c r="F865"/>
  <c r="F863"/>
  <c r="F867"/>
  <c r="G65" i="8"/>
  <c r="F869" i="46"/>
  <c r="D68" i="8"/>
  <c r="C872" i="46"/>
  <c r="I52" i="8" l="1"/>
  <c r="H856" i="46"/>
  <c r="H62" i="8"/>
  <c r="H63"/>
  <c r="H61"/>
  <c r="H60"/>
  <c r="H59"/>
  <c r="G866" i="46"/>
  <c r="G864"/>
  <c r="G865"/>
  <c r="G867"/>
  <c r="G863"/>
  <c r="G869"/>
  <c r="H65" i="8"/>
  <c r="D872" i="46"/>
  <c r="E68" i="8"/>
  <c r="H865" i="46" l="1"/>
  <c r="H866"/>
  <c r="H864"/>
  <c r="H863"/>
  <c r="H867"/>
  <c r="J52" i="8"/>
  <c r="I62"/>
  <c r="I856" i="46"/>
  <c r="I63" i="8"/>
  <c r="I61"/>
  <c r="I60"/>
  <c r="I59"/>
  <c r="I65"/>
  <c r="H869" i="46"/>
  <c r="E872"/>
  <c r="F68" i="8"/>
  <c r="I865" i="46" l="1"/>
  <c r="I864"/>
  <c r="I866"/>
  <c r="I863"/>
  <c r="I867"/>
  <c r="J856"/>
  <c r="K52" i="8"/>
  <c r="J62"/>
  <c r="J63"/>
  <c r="J59"/>
  <c r="J60"/>
  <c r="J61"/>
  <c r="J65"/>
  <c r="I869" i="46"/>
  <c r="F872"/>
  <c r="G68" i="8"/>
  <c r="B81" l="1"/>
  <c r="K856" i="46"/>
  <c r="K62" i="8"/>
  <c r="K63"/>
  <c r="K61"/>
  <c r="K60"/>
  <c r="K59"/>
  <c r="J864" i="46"/>
  <c r="J865"/>
  <c r="J866"/>
  <c r="J867"/>
  <c r="J863"/>
  <c r="J869"/>
  <c r="K65" i="8"/>
  <c r="H68"/>
  <c r="G872" i="46"/>
  <c r="K867" l="1"/>
  <c r="K864"/>
  <c r="K866"/>
  <c r="K865"/>
  <c r="K863"/>
  <c r="B885"/>
  <c r="B91" i="8"/>
  <c r="C81"/>
  <c r="B92"/>
  <c r="B88"/>
  <c r="B89"/>
  <c r="B90"/>
  <c r="K869" i="46"/>
  <c r="B94" i="8"/>
  <c r="H872" i="46"/>
  <c r="I68" i="8"/>
  <c r="D81" l="1"/>
  <c r="C92"/>
  <c r="C885" i="46"/>
  <c r="C91" i="8"/>
  <c r="C90"/>
  <c r="C89"/>
  <c r="C88"/>
  <c r="B893" i="46"/>
  <c r="B895"/>
  <c r="B894"/>
  <c r="B896"/>
  <c r="B892"/>
  <c r="B898"/>
  <c r="C94" i="8"/>
  <c r="I872" i="46"/>
  <c r="J68" i="8"/>
  <c r="C894" i="46" l="1"/>
  <c r="C896"/>
  <c r="C895"/>
  <c r="C893"/>
  <c r="C892"/>
  <c r="D885"/>
  <c r="D92" i="8"/>
  <c r="D91"/>
  <c r="E81"/>
  <c r="D89"/>
  <c r="D88"/>
  <c r="D90"/>
  <c r="D94"/>
  <c r="C898" i="46"/>
  <c r="J872"/>
  <c r="K68" i="8"/>
  <c r="D896" i="46" l="1"/>
  <c r="D893"/>
  <c r="D895"/>
  <c r="D894"/>
  <c r="D892"/>
  <c r="E92" i="8"/>
  <c r="F81"/>
  <c r="E885" i="46"/>
  <c r="E91" i="8"/>
  <c r="E90"/>
  <c r="E88"/>
  <c r="E89"/>
  <c r="E94"/>
  <c r="D898" i="46"/>
  <c r="B97" i="8"/>
  <c r="K872" i="46"/>
  <c r="E895" l="1"/>
  <c r="E893"/>
  <c r="E896"/>
  <c r="E894"/>
  <c r="E892"/>
  <c r="G81" i="8"/>
  <c r="F92"/>
  <c r="F91"/>
  <c r="F885" i="46"/>
  <c r="F89" i="8"/>
  <c r="F88"/>
  <c r="F90"/>
  <c r="E898" i="46"/>
  <c r="F94" i="8"/>
  <c r="B901" i="46"/>
  <c r="C97" i="8"/>
  <c r="G92" l="1"/>
  <c r="G91"/>
  <c r="H81"/>
  <c r="G885" i="46"/>
  <c r="G89" i="8"/>
  <c r="G88"/>
  <c r="G90"/>
  <c r="F893" i="46"/>
  <c r="F895"/>
  <c r="F896"/>
  <c r="F894"/>
  <c r="F892"/>
  <c r="G94" i="8"/>
  <c r="F898" i="46"/>
  <c r="D97" i="8"/>
  <c r="C901" i="46"/>
  <c r="G895" l="1"/>
  <c r="G893"/>
  <c r="G896"/>
  <c r="G894"/>
  <c r="G892"/>
  <c r="H885"/>
  <c r="H92" i="8"/>
  <c r="I81"/>
  <c r="H91"/>
  <c r="H89"/>
  <c r="H88"/>
  <c r="H90"/>
  <c r="H94"/>
  <c r="G898" i="46"/>
  <c r="D901"/>
  <c r="E97" i="8"/>
  <c r="I92" l="1"/>
  <c r="I885" i="46"/>
  <c r="I91" i="8"/>
  <c r="J81"/>
  <c r="I90"/>
  <c r="I89"/>
  <c r="I88"/>
  <c r="H894" i="46"/>
  <c r="H895"/>
  <c r="H893"/>
  <c r="H896"/>
  <c r="H892"/>
  <c r="I94" i="8"/>
  <c r="H898" i="46"/>
  <c r="F97" i="8"/>
  <c r="E901" i="46"/>
  <c r="J91" i="8" l="1"/>
  <c r="K81"/>
  <c r="J885" i="46"/>
  <c r="J92" i="8"/>
  <c r="J90"/>
  <c r="J89"/>
  <c r="J88"/>
  <c r="I896" i="46"/>
  <c r="I894"/>
  <c r="I893"/>
  <c r="I895"/>
  <c r="I892"/>
  <c r="I898"/>
  <c r="J94" i="8"/>
  <c r="F901" i="46"/>
  <c r="G97" i="8"/>
  <c r="J893" i="46" l="1"/>
  <c r="J896"/>
  <c r="J895"/>
  <c r="J894"/>
  <c r="J892"/>
  <c r="K92" i="8"/>
  <c r="K91"/>
  <c r="K885" i="46"/>
  <c r="K90" i="8"/>
  <c r="K89"/>
  <c r="K88"/>
  <c r="K94"/>
  <c r="K898" i="46" s="1"/>
  <c r="J898"/>
  <c r="H97" i="8"/>
  <c r="G901" i="46"/>
  <c r="K894" l="1"/>
  <c r="K896"/>
  <c r="K893"/>
  <c r="K895"/>
  <c r="K892"/>
  <c r="H901"/>
  <c r="I97" i="8"/>
  <c r="J97" l="1"/>
  <c r="I901" i="46"/>
  <c r="J901" l="1"/>
  <c r="K97" i="8"/>
  <c r="K901" i="46" s="1"/>
</calcChain>
</file>

<file path=xl/sharedStrings.xml><?xml version="1.0" encoding="utf-8"?>
<sst xmlns="http://schemas.openxmlformats.org/spreadsheetml/2006/main" count="10645" uniqueCount="3843">
  <si>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</si>
  <si>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</si>
  <si>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</si>
  <si>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</si>
  <si>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</si>
  <si>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</si>
  <si>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</si>
  <si>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</si>
  <si>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</si>
  <si>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</si>
  <si>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</si>
  <si>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</si>
  <si>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</si>
  <si>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</si>
  <si>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</si>
  <si>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</si>
  <si>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</si>
  <si>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</si>
  <si>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</si>
  <si>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</si>
  <si>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</si>
  <si>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</si>
  <si>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</si>
  <si>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</si>
  <si>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</si>
  <si>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</si>
  <si>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</si>
  <si>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</si>
  <si>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</si>
  <si>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</si>
  <si>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</si>
  <si>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</si>
  <si>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</si>
  <si>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</si>
  <si>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</si>
  <si>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</si>
  <si>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</si>
  <si>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</si>
  <si>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</si>
  <si>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</si>
  <si>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</si>
  <si>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</si>
  <si>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</si>
  <si>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</si>
  <si>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</si>
  <si>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</si>
  <si>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</si>
  <si>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</si>
  <si>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</si>
  <si>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</si>
  <si>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</si>
  <si>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</si>
  <si>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</si>
  <si>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</si>
  <si>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</si>
  <si>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</si>
  <si>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</si>
  <si>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</si>
  <si>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</si>
  <si>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</si>
  <si>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</si>
  <si>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</si>
  <si>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</si>
  <si>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</si>
  <si>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</si>
  <si>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</si>
  <si>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</si>
  <si>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</si>
  <si>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</si>
  <si>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</si>
  <si>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</si>
  <si>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</si>
  <si>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</si>
  <si>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</si>
  <si>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</si>
  <si>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</si>
  <si>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</si>
  <si>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</si>
  <si>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</si>
  <si>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</si>
  <si>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</si>
  <si>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</si>
  <si>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</si>
  <si>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</si>
  <si>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</si>
  <si>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</si>
  <si>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</si>
  <si>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</si>
  <si>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</si>
  <si>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</si>
  <si>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</si>
  <si>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</si>
  <si>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</si>
  <si>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</si>
  <si>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</si>
  <si>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</si>
  <si>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</si>
  <si>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</si>
  <si>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</si>
  <si>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</si>
  <si>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</si>
  <si>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</si>
  <si>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</si>
  <si>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</si>
  <si>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</si>
  <si>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</si>
  <si>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</si>
  <si>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</si>
  <si>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</si>
  <si>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</si>
  <si>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</si>
  <si>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</si>
  <si>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</si>
  <si>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</si>
  <si>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</si>
  <si>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</si>
  <si>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</si>
  <si>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</si>
  <si>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</si>
  <si>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</si>
  <si>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</si>
  <si>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</si>
  <si>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</si>
  <si>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</si>
  <si>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</si>
  <si>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</si>
  <si>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</si>
  <si>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</si>
  <si>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</si>
  <si>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</si>
  <si>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</si>
  <si>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</si>
  <si>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</si>
  <si>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</si>
  <si>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</si>
  <si>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</si>
  <si>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</si>
  <si>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</si>
  <si>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</si>
  <si>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</si>
  <si>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</si>
  <si>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</si>
  <si>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</si>
  <si>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</si>
  <si>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</si>
  <si>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</si>
  <si>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</si>
  <si>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</si>
  <si>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</si>
  <si>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</si>
  <si>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</si>
  <si>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</si>
  <si>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</si>
  <si>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</si>
  <si>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</si>
  <si>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</si>
  <si>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</si>
  <si>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</si>
  <si>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</si>
  <si>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</si>
  <si>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</si>
  <si>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</si>
  <si>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</si>
  <si>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</si>
  <si>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</si>
  <si>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</si>
  <si>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</si>
  <si>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</si>
  <si>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</si>
  <si>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</si>
  <si>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</si>
  <si>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</si>
  <si>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</si>
  <si>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</si>
  <si>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</si>
  <si>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</si>
  <si>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</si>
  <si>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</si>
  <si>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</si>
  <si>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</si>
  <si>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</si>
  <si>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</si>
  <si>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</si>
  <si>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</si>
  <si>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</si>
  <si>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</si>
  <si>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</si>
  <si>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</si>
  <si>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</si>
  <si>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</si>
  <si>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</si>
  <si>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</si>
  <si>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</si>
  <si>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</si>
  <si>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</si>
  <si>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</si>
  <si>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</si>
  <si>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</si>
  <si>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</si>
  <si>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</si>
  <si>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</si>
  <si>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</si>
  <si>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</si>
  <si>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</si>
  <si>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</si>
  <si>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</si>
  <si>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</si>
  <si>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</si>
  <si>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</si>
  <si>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</si>
  <si>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</si>
  <si>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</si>
  <si>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</si>
  <si>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</si>
  <si>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</si>
  <si>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</si>
  <si>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</si>
  <si>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</si>
  <si>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</si>
  <si>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</si>
  <si>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</si>
  <si>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</si>
  <si>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</si>
  <si>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</si>
  <si>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</si>
  <si>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</si>
  <si>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</si>
  <si>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</si>
  <si>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</si>
  <si>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</si>
  <si>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</si>
  <si>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</si>
  <si>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</si>
  <si>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</si>
  <si>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</si>
  <si>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</si>
  <si>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</si>
  <si>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</si>
  <si>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</si>
  <si>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</si>
  <si>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</si>
  <si>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</si>
  <si>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</si>
  <si>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</si>
  <si>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</si>
  <si>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</si>
  <si>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</si>
  <si>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</si>
  <si>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</si>
  <si>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</si>
  <si>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</si>
  <si>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</si>
  <si>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</si>
  <si>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</si>
  <si>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</si>
  <si>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</si>
  <si>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</si>
  <si>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</si>
  <si>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</si>
  <si>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</si>
  <si>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</si>
  <si>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</si>
  <si>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</si>
  <si>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</si>
  <si>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</si>
  <si>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</si>
  <si>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</si>
  <si>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</si>
  <si>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</si>
  <si>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</si>
  <si>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</si>
  <si>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</si>
  <si>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</si>
  <si>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</si>
  <si>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</si>
  <si>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</si>
  <si>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</si>
  <si>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</si>
  <si>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</si>
  <si>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</si>
  <si>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</si>
  <si>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</si>
  <si>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</si>
  <si>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</si>
  <si>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</si>
  <si>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</si>
  <si>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</si>
  <si>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</si>
  <si>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</si>
  <si>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</si>
  <si>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</si>
  <si>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</si>
  <si>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</si>
  <si>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</si>
  <si>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</si>
  <si>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</si>
  <si>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</si>
  <si>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</si>
  <si>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</si>
  <si>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</si>
  <si>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</si>
  <si>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</si>
  <si>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</si>
  <si>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</si>
  <si>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</si>
  <si>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</si>
  <si>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</si>
  <si>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</si>
  <si>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</si>
  <si>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</si>
  <si>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</si>
  <si>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</si>
  <si>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</si>
  <si>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</si>
  <si>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</si>
  <si>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</si>
  <si>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</si>
  <si>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</si>
  <si>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</si>
  <si>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</si>
  <si>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</si>
  <si>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</si>
  <si>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</si>
  <si>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</si>
  <si>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</si>
  <si>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</si>
  <si>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</si>
  <si>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</si>
  <si>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</si>
  <si>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</si>
  <si>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</si>
  <si>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</si>
  <si>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</si>
  <si>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</si>
  <si>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</si>
  <si>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</si>
  <si>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</si>
  <si>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</si>
  <si>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</si>
  <si>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</si>
  <si>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</si>
  <si>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</si>
  <si>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</si>
  <si>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</si>
  <si>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</si>
  <si>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</si>
  <si>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</si>
  <si>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</si>
  <si>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</si>
  <si>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</si>
  <si>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</si>
  <si>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</si>
  <si>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</si>
  <si>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</si>
  <si>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</si>
  <si>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</si>
  <si>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</si>
  <si>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</si>
  <si>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</si>
  <si>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</si>
  <si>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</si>
  <si>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</si>
  <si>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</si>
  <si>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</si>
  <si>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</si>
  <si>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</si>
  <si>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</si>
  <si>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</si>
  <si>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</si>
  <si>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</si>
  <si>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</si>
  <si>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</si>
  <si>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</si>
  <si>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</si>
  <si>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</si>
  <si>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</si>
  <si>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</si>
  <si>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</si>
  <si>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</si>
  <si>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</si>
  <si>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</si>
  <si>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</si>
  <si>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</si>
  <si>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</si>
  <si>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</si>
  <si>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</si>
  <si>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</si>
  <si>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</si>
  <si>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</si>
  <si>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</si>
  <si>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</si>
  <si>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</si>
  <si>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</si>
  <si>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</si>
  <si>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</si>
  <si>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</si>
  <si>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</si>
  <si>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</si>
  <si>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</si>
  <si>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</si>
  <si>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</si>
  <si>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</si>
  <si>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</si>
  <si>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</si>
  <si>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</si>
  <si>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</si>
  <si>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</si>
  <si>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</si>
  <si>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</si>
  <si>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</si>
  <si>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</si>
  <si>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</si>
  <si>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</si>
  <si>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</si>
  <si>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</si>
  <si>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</si>
  <si>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</si>
  <si>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</si>
  <si>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</si>
  <si>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</si>
  <si>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</si>
  <si>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</si>
  <si>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</si>
  <si>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</si>
  <si>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</si>
  <si>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</si>
  <si>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</si>
  <si>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</si>
  <si>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</si>
  <si>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</si>
  <si>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</si>
  <si>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</si>
  <si>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</si>
  <si>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</si>
  <si>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</si>
  <si>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</si>
  <si>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</si>
  <si>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</si>
  <si>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</si>
  <si>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</si>
  <si>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</si>
  <si>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</si>
  <si>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</si>
  <si>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</si>
  <si>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</si>
  <si>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</si>
  <si>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</si>
  <si>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</si>
  <si>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</si>
  <si>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</si>
  <si>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</si>
  <si>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</si>
  <si>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</si>
  <si>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</si>
  <si>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</si>
  <si>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</si>
  <si>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</si>
  <si>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</si>
  <si>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</si>
  <si>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</si>
  <si>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</si>
  <si>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</si>
  <si>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</si>
  <si>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</si>
  <si>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</si>
  <si>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</si>
  <si>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</si>
  <si>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</si>
  <si>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</si>
  <si>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</si>
  <si>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</si>
  <si>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</si>
  <si>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</si>
  <si>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</si>
  <si>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</si>
  <si>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</si>
  <si>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</si>
  <si>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</si>
  <si>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</si>
  <si>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</si>
  <si>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</si>
  <si>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</si>
  <si>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</si>
  <si>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</si>
  <si>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</si>
  <si>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</si>
  <si>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</si>
  <si>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</si>
  <si>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</si>
  <si>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</si>
  <si>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</si>
  <si>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</si>
  <si>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</si>
  <si>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</si>
  <si>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</si>
  <si>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</si>
  <si>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</si>
  <si>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</si>
  <si>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</si>
  <si>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</si>
  <si>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</si>
  <si>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</si>
  <si>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</si>
  <si>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</si>
  <si>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</si>
  <si>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</si>
  <si>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</si>
  <si>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</si>
  <si>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</si>
  <si>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</si>
  <si>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</si>
  <si>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</si>
  <si>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</si>
  <si>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</si>
  <si>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</si>
  <si>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</si>
  <si>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</si>
  <si>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</si>
  <si>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</si>
  <si>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</si>
  <si>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</si>
  <si>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</si>
  <si>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</si>
  <si>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</si>
  <si>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</si>
  <si>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</si>
  <si>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</si>
  <si>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</si>
  <si>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</si>
  <si>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</si>
  <si>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</si>
  <si>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</si>
  <si>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</si>
  <si>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</si>
  <si>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</si>
  <si>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</si>
  <si>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</si>
  <si>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</si>
  <si>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</si>
  <si>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</si>
  <si>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</si>
  <si>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</si>
  <si>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</si>
  <si>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</si>
  <si>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</si>
  <si>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</si>
  <si>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</si>
  <si>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</si>
  <si>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</si>
  <si>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</si>
  <si>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</si>
  <si>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</si>
  <si>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</si>
  <si>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</si>
  <si>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</si>
  <si>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</si>
  <si>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</si>
  <si>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</si>
  <si>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</si>
  <si>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</si>
  <si>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</si>
  <si>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</si>
  <si>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</si>
  <si>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</si>
  <si>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</si>
  <si>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</si>
  <si>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</si>
  <si>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</si>
  <si>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</si>
  <si>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</si>
  <si>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</si>
  <si>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</si>
  <si>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</si>
  <si>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</si>
  <si>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</si>
  <si>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</si>
  <si>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</si>
  <si>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</si>
  <si>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</si>
  <si>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</si>
  <si>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</si>
  <si>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</si>
  <si>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</si>
  <si>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</si>
  <si>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</si>
  <si>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</si>
  <si>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</si>
  <si>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</si>
  <si>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</si>
  <si>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</si>
  <si>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</si>
  <si>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</si>
  <si>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</si>
  <si>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</si>
  <si>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</si>
  <si>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</si>
  <si>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</si>
  <si>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</si>
  <si>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</si>
  <si>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</si>
  <si>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</si>
  <si>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</si>
  <si>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</si>
  <si>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</si>
  <si>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</si>
  <si>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</si>
  <si>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</si>
  <si>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</si>
  <si>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</si>
  <si>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</si>
  <si>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</si>
  <si>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</si>
  <si>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</si>
  <si>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</si>
  <si>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</si>
  <si>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</si>
  <si>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</si>
  <si>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</si>
  <si>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</si>
  <si>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</si>
  <si>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</si>
  <si>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</si>
  <si>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</si>
  <si>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</si>
  <si>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</si>
  <si>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</si>
  <si>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</si>
  <si>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</si>
  <si>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</si>
  <si>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</si>
  <si>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</si>
  <si>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</si>
  <si>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</si>
  <si>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</si>
  <si>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</si>
  <si>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</si>
  <si>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</si>
  <si>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</si>
  <si>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</si>
  <si>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</si>
  <si>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</si>
  <si>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</si>
  <si>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</si>
  <si>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</si>
  <si>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</si>
  <si>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</si>
  <si>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</si>
  <si>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</si>
  <si>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</si>
  <si>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</si>
  <si>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</si>
  <si>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</si>
  <si>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</si>
  <si>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</si>
  <si>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</si>
  <si>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</si>
  <si>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</si>
  <si>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</si>
  <si>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</si>
  <si>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</si>
  <si>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</si>
  <si>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</si>
  <si>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</si>
  <si>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</si>
  <si>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</si>
  <si>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</si>
  <si>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</si>
  <si>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</si>
  <si>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</si>
  <si>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</si>
  <si>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</si>
  <si>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</si>
  <si>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</si>
  <si>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</si>
  <si>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</si>
  <si>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</si>
  <si>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</si>
  <si>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</si>
  <si>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</si>
  <si>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</si>
  <si>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</si>
  <si>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</si>
  <si>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</si>
  <si>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</si>
  <si>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</si>
  <si>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</si>
  <si>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</si>
  <si>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</si>
  <si>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</si>
  <si>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</si>
  <si>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</si>
  <si>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</si>
  <si>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</si>
  <si>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</si>
  <si>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</si>
  <si>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</si>
  <si>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</si>
  <si>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</si>
  <si>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</si>
  <si>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</si>
  <si>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</si>
  <si>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</si>
  <si>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</si>
  <si>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</si>
  <si>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</si>
  <si>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</si>
  <si>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</si>
  <si>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</si>
  <si>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</si>
  <si>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</si>
  <si>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</si>
  <si>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</si>
  <si>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</si>
  <si>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</si>
  <si>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</si>
  <si>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</si>
  <si>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</si>
  <si>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</si>
  <si>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</si>
  <si>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</si>
  <si>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</si>
  <si>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</si>
  <si>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</si>
  <si>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</si>
  <si>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</si>
  <si>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</si>
  <si>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</si>
  <si>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</si>
  <si>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</si>
  <si>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</si>
  <si>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</si>
  <si>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</si>
  <si>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</si>
  <si>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</si>
  <si>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</si>
  <si>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</si>
  <si>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</si>
  <si>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</si>
  <si>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</si>
  <si>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</si>
  <si>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</si>
  <si>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</si>
  <si>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</si>
  <si>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</si>
  <si>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</si>
  <si>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</si>
  <si>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</si>
  <si>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</si>
  <si>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</si>
  <si>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</si>
  <si>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</si>
  <si>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</si>
  <si>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</si>
  <si>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</si>
  <si>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</si>
  <si>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</si>
  <si>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</si>
  <si>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</si>
  <si>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</si>
  <si>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</si>
  <si>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</si>
  <si>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</si>
  <si>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</si>
  <si>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</si>
  <si>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</si>
  <si>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</si>
  <si>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</si>
  <si>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</si>
  <si>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</si>
  <si>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</si>
  <si>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</si>
  <si>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</si>
  <si>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</si>
  <si>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</si>
  <si>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</si>
  <si>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</si>
  <si>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</si>
  <si>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</si>
  <si>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</si>
  <si>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</si>
  <si>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</si>
  <si>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</si>
  <si>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</si>
  <si>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</si>
  <si>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</si>
  <si>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</si>
  <si>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</si>
  <si>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</si>
  <si>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</si>
  <si>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</si>
  <si>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</si>
  <si>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</si>
  <si>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</si>
  <si>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</si>
  <si>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</si>
  <si>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</si>
  <si>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</si>
  <si>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</si>
  <si>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</si>
  <si>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</si>
  <si>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</si>
  <si>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</si>
  <si>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</si>
  <si>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</si>
  <si>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</si>
  <si>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</si>
  <si>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</si>
  <si>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</si>
  <si>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</si>
  <si>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</si>
  <si>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</si>
  <si>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</si>
  <si>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</si>
  <si>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</si>
  <si>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</si>
  <si>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</si>
  <si>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</si>
  <si>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</si>
  <si>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</si>
  <si>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</si>
  <si>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</si>
  <si>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</si>
  <si>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</si>
  <si>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</si>
  <si>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</si>
  <si>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</si>
  <si>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</si>
  <si>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</si>
  <si>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</si>
  <si>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</si>
  <si>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</si>
  <si>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</si>
  <si>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</si>
  <si>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</si>
  <si>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</si>
  <si>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</si>
  <si>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</si>
  <si>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</si>
  <si>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</si>
  <si>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</si>
  <si>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</si>
  <si>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</si>
  <si>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</si>
  <si>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</si>
  <si>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</si>
  <si>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</si>
  <si>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</si>
  <si>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</si>
  <si>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</si>
  <si>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</si>
  <si>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</si>
  <si>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</si>
  <si>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</si>
  <si>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</si>
  <si>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</si>
  <si>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</si>
  <si>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</si>
  <si>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</si>
  <si>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</si>
  <si>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</si>
  <si>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</si>
  <si>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</si>
  <si>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</si>
  <si>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</si>
  <si>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</si>
  <si>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</si>
  <si>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</si>
  <si>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</si>
  <si>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</si>
  <si>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</si>
  <si>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</si>
  <si>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</si>
  <si>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</si>
  <si>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</si>
  <si>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</si>
  <si>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</si>
  <si>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</si>
  <si>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</si>
  <si>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</si>
  <si>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</si>
  <si>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</si>
  <si>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</si>
  <si>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</si>
  <si>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</si>
  <si>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</si>
  <si>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</si>
  <si>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</si>
  <si>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</si>
  <si>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</si>
  <si>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</si>
  <si>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</si>
  <si>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</si>
  <si>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</si>
  <si>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</si>
  <si>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</si>
  <si>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</si>
  <si>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</si>
  <si>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</si>
  <si>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</si>
  <si>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</si>
  <si>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</si>
  <si>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</si>
  <si>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</si>
  <si>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</si>
  <si>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</si>
  <si>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</si>
  <si>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</si>
  <si>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</si>
  <si>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</si>
  <si>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</si>
  <si>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</si>
  <si>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</si>
  <si>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</si>
  <si>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</si>
  <si>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</si>
  <si>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</si>
  <si>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</si>
  <si>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</si>
  <si>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</si>
  <si>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</si>
  <si>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</si>
  <si>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</si>
  <si>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</si>
  <si>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</si>
  <si>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</si>
  <si>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</si>
  <si>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</si>
  <si>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</si>
  <si>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</si>
  <si>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</si>
  <si>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</si>
  <si>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</si>
  <si>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</si>
  <si>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</si>
  <si>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</si>
  <si>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</si>
  <si>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</si>
  <si>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</si>
  <si>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</si>
  <si>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</si>
  <si>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</si>
  <si>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</si>
  <si>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</si>
  <si>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</si>
  <si>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</si>
  <si>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</si>
  <si>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</si>
  <si>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</si>
  <si>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</si>
  <si>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</si>
  <si>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</si>
  <si>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</si>
  <si>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</si>
  <si>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</si>
  <si>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</si>
  <si>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</si>
  <si>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</si>
  <si>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</si>
  <si>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</si>
  <si>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</si>
  <si>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</si>
  <si>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</si>
  <si>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</si>
  <si>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</si>
  <si>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</si>
  <si>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</si>
  <si>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</si>
  <si>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</si>
  <si>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</si>
  <si>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</si>
  <si>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</si>
  <si>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</si>
  <si>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</si>
  <si>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</si>
  <si>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</si>
  <si>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</si>
  <si>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</si>
  <si>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</si>
  <si>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</si>
  <si>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</si>
  <si>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</si>
  <si>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</si>
  <si>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</si>
  <si>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</si>
  <si>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</si>
  <si>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</si>
  <si>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</si>
  <si>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</si>
  <si>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</si>
  <si>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</si>
  <si>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</si>
  <si>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</si>
  <si>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</si>
  <si>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</si>
  <si>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</si>
  <si>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</si>
  <si>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</si>
  <si>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</si>
  <si>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</si>
  <si>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</si>
  <si>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</si>
  <si>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</si>
  <si>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</si>
  <si>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</si>
  <si>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</si>
  <si>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</si>
  <si>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</si>
  <si>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</si>
  <si>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</si>
  <si>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</si>
  <si>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</si>
  <si>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</si>
  <si>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</si>
  <si>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</si>
  <si>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</si>
  <si>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</si>
  <si>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</si>
  <si>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</si>
  <si>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</si>
  <si>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</si>
  <si>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</si>
  <si>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</si>
  <si>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</si>
  <si>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</si>
  <si>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</si>
  <si>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</si>
  <si>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</si>
  <si>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</si>
  <si>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</si>
  <si>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</si>
  <si>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</si>
  <si>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</si>
  <si>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</si>
  <si>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</si>
  <si>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</si>
  <si>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</si>
  <si>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</si>
  <si>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</si>
  <si>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</si>
  <si>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</si>
  <si>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</si>
  <si>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</si>
  <si>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</si>
  <si>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</si>
  <si>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</si>
  <si>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</si>
  <si>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</si>
  <si>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</si>
  <si>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</si>
  <si>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</si>
  <si>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</si>
  <si>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</si>
  <si>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</si>
  <si>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</si>
  <si>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</si>
  <si>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</si>
  <si>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</si>
  <si>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</si>
  <si>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</si>
  <si>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</si>
  <si>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</si>
  <si>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</si>
  <si>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</si>
  <si>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</si>
  <si>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</si>
  <si>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</si>
  <si>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</si>
  <si>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</si>
  <si>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</si>
  <si>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</si>
  <si>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</si>
  <si>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</si>
  <si>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</si>
  <si>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</si>
  <si>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</si>
  <si>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</si>
  <si>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</si>
  <si>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</si>
  <si>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</si>
  <si>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</si>
  <si>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</si>
  <si>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</si>
  <si>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</si>
  <si>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</si>
  <si>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</si>
  <si>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</si>
  <si>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</si>
  <si>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</si>
  <si>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</si>
  <si>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</si>
  <si>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</si>
  <si>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</si>
  <si>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</si>
  <si>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</si>
  <si>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</si>
  <si>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</si>
  <si>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</si>
  <si>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</si>
  <si>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</si>
  <si>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</si>
  <si>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</si>
  <si>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</si>
  <si>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</si>
  <si>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</si>
  <si>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</si>
  <si>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</si>
  <si>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</si>
  <si>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</si>
  <si>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</si>
  <si>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</si>
  <si>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</si>
  <si>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</si>
  <si>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</si>
  <si>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</si>
  <si>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</si>
  <si>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</si>
  <si>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</si>
  <si>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</si>
  <si>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</si>
  <si>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</si>
  <si>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</si>
  <si>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</si>
  <si>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</si>
  <si>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</si>
  <si>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</si>
  <si>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</si>
  <si>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</si>
  <si>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</si>
  <si>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</si>
  <si>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</si>
  <si>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</si>
  <si>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</si>
  <si>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</si>
  <si>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</si>
  <si>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</si>
  <si>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</si>
  <si>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</si>
  <si>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</si>
  <si>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</si>
  <si>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</si>
  <si>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</si>
  <si>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</si>
  <si>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</si>
  <si>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</si>
  <si>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</si>
  <si>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</si>
  <si>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</si>
  <si>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</si>
  <si>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</si>
  <si>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</si>
  <si>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</si>
  <si>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</si>
  <si>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</si>
  <si>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</si>
  <si>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</si>
  <si>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</si>
  <si>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</si>
  <si>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</si>
  <si>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</si>
  <si>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</si>
  <si>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</si>
  <si>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</si>
  <si>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</si>
  <si>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</si>
  <si>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</si>
  <si>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</si>
  <si>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</si>
  <si>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</si>
  <si>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</si>
  <si>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</si>
  <si>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</si>
  <si>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</si>
  <si>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</si>
  <si>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</si>
  <si>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</si>
  <si>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</si>
  <si>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</si>
  <si>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</si>
  <si>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</si>
  <si>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</si>
  <si>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</si>
  <si>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</si>
  <si>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</si>
  <si>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</si>
  <si>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</si>
  <si>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</si>
  <si>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</si>
  <si>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</si>
  <si>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</si>
  <si>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</si>
  <si>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</si>
  <si>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</si>
  <si>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</si>
  <si>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</si>
  <si>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</si>
  <si>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</si>
  <si>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</si>
  <si>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</si>
  <si>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</si>
  <si>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</si>
  <si>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</si>
  <si>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</si>
  <si>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</si>
  <si>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</si>
  <si>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</si>
  <si>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</si>
  <si>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</si>
  <si>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</si>
  <si>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</si>
  <si>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</si>
  <si>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</si>
  <si>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</si>
  <si>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</si>
  <si>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</si>
  <si>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</si>
  <si>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</si>
  <si>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</si>
  <si>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</si>
  <si>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</si>
  <si>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</si>
  <si>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</si>
  <si>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</si>
  <si>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</si>
  <si>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</si>
  <si>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</si>
  <si>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</si>
  <si>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</si>
  <si>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</si>
  <si>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</si>
  <si>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</si>
  <si>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</si>
  <si>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</si>
  <si>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</si>
  <si>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</si>
  <si>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</si>
  <si>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</si>
  <si>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</si>
  <si>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</si>
  <si>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</si>
  <si>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</si>
  <si>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</si>
  <si>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</si>
  <si>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</si>
  <si>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</si>
  <si>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</si>
  <si>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</si>
  <si>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</si>
  <si>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</si>
  <si>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</si>
  <si>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</si>
  <si>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</si>
  <si>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</si>
  <si>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</si>
  <si>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</si>
  <si>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</si>
  <si>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</si>
  <si>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</si>
  <si>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</si>
  <si>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</si>
  <si>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</si>
  <si>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</si>
  <si>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</si>
  <si>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</si>
  <si>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</si>
  <si>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</si>
  <si>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</si>
  <si>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</si>
  <si>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</si>
  <si>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</si>
  <si>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</si>
  <si>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</si>
  <si>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</si>
  <si>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</si>
  <si>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</si>
  <si>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</si>
  <si>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</si>
  <si>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</si>
  <si>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</si>
  <si>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</si>
  <si>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</si>
  <si>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</si>
  <si>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</si>
  <si>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</si>
  <si>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</si>
  <si>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</si>
  <si>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</si>
  <si>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</si>
  <si>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</si>
  <si>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</si>
  <si>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</si>
  <si>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</si>
  <si>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</si>
  <si>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</si>
  <si>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</si>
  <si>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</si>
  <si>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</si>
  <si>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</si>
  <si>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</si>
  <si>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</si>
  <si>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</si>
  <si>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</si>
  <si>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</si>
  <si>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</si>
  <si>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</si>
  <si>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</si>
  <si>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</si>
  <si>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</si>
  <si>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</si>
  <si>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</si>
  <si>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</si>
  <si>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</si>
  <si>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</si>
  <si>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</si>
  <si>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</si>
  <si>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</si>
  <si>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</si>
  <si>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</si>
  <si>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</si>
  <si>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</si>
  <si>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</si>
  <si>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</si>
  <si>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</si>
  <si>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</si>
  <si>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</si>
  <si>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</si>
  <si>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</si>
  <si>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</si>
  <si>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</si>
  <si>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</si>
  <si>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</si>
  <si>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</si>
  <si>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</si>
  <si>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</si>
  <si>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</si>
  <si>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</si>
  <si>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</si>
  <si>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</si>
  <si>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</si>
  <si>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</si>
  <si>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</si>
  <si>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</si>
  <si>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</si>
  <si>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</si>
  <si>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</si>
  <si>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</si>
  <si>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</si>
  <si>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</si>
  <si>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</si>
  <si>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</si>
  <si>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</si>
  <si>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</si>
  <si>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</si>
  <si>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</si>
  <si>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</si>
  <si>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</si>
  <si>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</si>
  <si>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</si>
  <si>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</si>
  <si>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</si>
  <si>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</si>
  <si>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</si>
  <si>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</si>
  <si>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</si>
  <si>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</si>
  <si>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</si>
  <si>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</si>
  <si>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</si>
  <si>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</si>
  <si>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</si>
  <si>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</si>
  <si>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</si>
  <si>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</si>
  <si>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</si>
  <si>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</si>
  <si>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</si>
  <si>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</si>
  <si>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</si>
  <si>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</si>
  <si>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</si>
  <si>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</si>
  <si>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</si>
  <si>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</si>
  <si>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</si>
  <si>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</si>
  <si>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</si>
  <si>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</si>
  <si>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</si>
  <si>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</si>
  <si>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</si>
  <si>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</si>
  <si>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</si>
  <si>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</si>
  <si>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</si>
  <si>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</si>
  <si>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</si>
  <si>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</si>
  <si>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</si>
  <si>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</si>
  <si>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</si>
  <si>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</si>
  <si>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</si>
  <si>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</si>
  <si>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</si>
  <si>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</si>
  <si>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</si>
  <si>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</si>
  <si>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</si>
  <si>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</si>
  <si>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</si>
  <si>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</si>
  <si>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</si>
  <si>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</si>
  <si>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</si>
  <si>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</si>
  <si>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</si>
  <si>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</si>
  <si>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</si>
  <si>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</si>
  <si>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</si>
  <si>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</si>
  <si>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</si>
  <si>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</si>
  <si>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</si>
  <si>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</si>
  <si>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</si>
  <si>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</si>
  <si>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</si>
  <si>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</si>
  <si>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</si>
  <si>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</si>
  <si>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</si>
  <si>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</si>
  <si>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</si>
  <si>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</si>
  <si>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</si>
  <si>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</si>
  <si>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</si>
  <si>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</si>
  <si>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</si>
  <si>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</si>
  <si>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</si>
  <si>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</si>
  <si>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</si>
  <si>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</si>
  <si>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</si>
  <si>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</si>
  <si>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</si>
  <si>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</si>
  <si>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</si>
  <si>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</si>
  <si>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</si>
  <si>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</si>
  <si>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</si>
  <si>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</si>
  <si>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</si>
  <si>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</si>
  <si>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</si>
  <si>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</si>
  <si>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</si>
  <si>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</si>
  <si>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</si>
  <si>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</si>
  <si>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</si>
  <si>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</si>
  <si>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</si>
  <si>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</si>
  <si>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</si>
  <si>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</si>
  <si>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</si>
  <si>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</si>
  <si>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</si>
  <si>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</si>
  <si>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</si>
  <si>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</si>
  <si>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</si>
  <si>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</si>
  <si>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</si>
  <si>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</si>
  <si>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</si>
  <si>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</si>
  <si>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</si>
  <si>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</si>
  <si>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</si>
  <si>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</si>
  <si>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</si>
  <si>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</si>
  <si>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</si>
  <si>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</si>
  <si>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</si>
  <si>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</si>
  <si>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</si>
  <si>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</si>
  <si>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</si>
  <si>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</si>
  <si>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</si>
  <si>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</si>
  <si>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</si>
  <si>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</si>
  <si>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</si>
  <si>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</si>
  <si>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</si>
  <si>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</si>
  <si>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</si>
  <si>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</si>
  <si>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</si>
  <si>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</si>
  <si>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</si>
  <si>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</si>
  <si>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</si>
  <si>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</si>
  <si>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</si>
  <si>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</si>
  <si>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</si>
  <si>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</si>
  <si>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</si>
  <si>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</si>
  <si>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</si>
  <si>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</si>
  <si>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</si>
  <si>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</si>
  <si>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</si>
  <si>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</si>
  <si>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</si>
  <si>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</si>
  <si>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</si>
  <si>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</si>
  <si>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</si>
  <si>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</si>
  <si>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</si>
  <si>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</si>
  <si>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</si>
  <si>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</si>
  <si>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</si>
  <si>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</si>
  <si>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</si>
  <si>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</si>
  <si>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</si>
  <si>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</si>
  <si>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</si>
  <si>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</si>
  <si>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</si>
  <si>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</si>
  <si>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</si>
  <si>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</si>
  <si>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</si>
  <si>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</si>
  <si>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</si>
  <si>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</si>
  <si>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</si>
  <si>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</si>
  <si>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</si>
  <si>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</si>
  <si>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</si>
  <si>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</si>
  <si>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</si>
  <si>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</si>
  <si>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</si>
  <si>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</si>
  <si>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</si>
  <si>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</si>
  <si>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</si>
  <si>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</si>
  <si>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</si>
  <si>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</si>
  <si>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</si>
  <si>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</si>
  <si>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</si>
  <si>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</si>
  <si>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</si>
  <si>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</si>
  <si>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</si>
  <si>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</si>
  <si>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</si>
  <si>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</si>
  <si>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</si>
  <si>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</si>
  <si>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</si>
  <si>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</si>
  <si>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</si>
  <si>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</si>
  <si>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</si>
  <si>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</si>
  <si>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</si>
  <si>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</si>
  <si>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</si>
  <si>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</si>
  <si>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</si>
  <si>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</si>
  <si>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</si>
  <si>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</si>
  <si>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</si>
  <si>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</si>
  <si>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</si>
  <si>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</si>
  <si>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</si>
  <si>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</si>
  <si>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</si>
  <si>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</si>
  <si>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</si>
  <si>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</si>
  <si>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</si>
  <si>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</si>
  <si>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</si>
  <si>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</si>
  <si>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</si>
  <si>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</si>
  <si>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</si>
  <si>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</si>
  <si>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</si>
  <si>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</si>
  <si>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</si>
  <si>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</si>
  <si>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</si>
  <si>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</si>
  <si>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</si>
  <si>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</si>
  <si>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</si>
  <si>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</si>
  <si>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</si>
  <si>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</si>
  <si>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</si>
  <si>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</si>
  <si>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</si>
  <si>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</si>
  <si>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</si>
  <si>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</si>
  <si>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</si>
  <si>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</si>
  <si>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</si>
  <si>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</si>
  <si>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</si>
  <si>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</si>
  <si>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</si>
  <si>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</si>
  <si>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</si>
  <si>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</si>
  <si>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</si>
  <si>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</si>
  <si>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</si>
  <si>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</si>
  <si>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</si>
  <si>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</si>
  <si>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</si>
  <si>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</si>
  <si>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</si>
  <si>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</si>
  <si>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</si>
  <si>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</si>
  <si>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</si>
  <si>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</si>
  <si>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</si>
  <si>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</si>
  <si>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</si>
  <si>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</si>
  <si>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</si>
  <si>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</si>
  <si>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</si>
  <si>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</si>
  <si>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</si>
  <si>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</si>
  <si>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</si>
  <si>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</si>
  <si>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</si>
  <si>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</si>
  <si>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</si>
  <si>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</si>
  <si>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</si>
  <si>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</si>
  <si>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</si>
  <si>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</si>
  <si>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</si>
  <si>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</si>
  <si>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</si>
  <si>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</si>
  <si>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</si>
  <si>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</si>
  <si>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</si>
  <si>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</si>
  <si>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</si>
  <si>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</si>
  <si>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</si>
  <si>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</si>
  <si>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</si>
  <si>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</si>
  <si>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</si>
  <si>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</si>
  <si>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</si>
  <si>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</si>
  <si>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</si>
  <si>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</si>
  <si>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</si>
  <si>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</si>
  <si>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</si>
  <si>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</si>
  <si>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</si>
  <si>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</si>
  <si>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</si>
  <si>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</si>
  <si>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</si>
  <si>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</si>
  <si>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</si>
  <si>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</si>
  <si>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</si>
  <si>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</si>
  <si>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</si>
  <si>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</si>
  <si>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</si>
  <si>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</si>
  <si>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</si>
  <si>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</si>
  <si>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</si>
  <si>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</si>
  <si>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</si>
  <si>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</si>
  <si>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</si>
  <si>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</si>
  <si>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</si>
  <si>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</si>
  <si>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</si>
  <si>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</si>
  <si>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</si>
  <si>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</si>
  <si>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</si>
  <si>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</si>
  <si>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</si>
  <si>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</si>
  <si>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</si>
  <si>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</si>
  <si>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</si>
  <si>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</si>
  <si>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</si>
  <si>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</si>
  <si>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</si>
  <si>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</si>
  <si>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</si>
  <si>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</si>
  <si>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</si>
  <si>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</si>
  <si>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</si>
  <si>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</si>
  <si>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</si>
  <si>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</si>
  <si>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</si>
  <si>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</si>
  <si>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</si>
  <si>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</si>
  <si>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</si>
  <si>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</si>
  <si>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</si>
  <si>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</si>
  <si>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</si>
  <si>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</si>
  <si>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</si>
  <si>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</si>
  <si>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</si>
  <si>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</si>
  <si>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</si>
  <si>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</si>
  <si>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</si>
  <si>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</si>
  <si>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</si>
  <si>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</si>
  <si>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</si>
  <si>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</si>
  <si>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</si>
  <si>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</si>
  <si>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</si>
  <si>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</si>
  <si>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</si>
  <si>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</si>
  <si>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</si>
  <si>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</si>
  <si>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</si>
  <si>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</si>
  <si>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</si>
  <si>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</si>
  <si>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</si>
  <si>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</si>
  <si>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</si>
  <si>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</si>
  <si>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</si>
  <si>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</si>
  <si>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</si>
  <si>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</si>
  <si>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</si>
  <si>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</si>
  <si>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</si>
  <si>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</si>
  <si>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</si>
  <si>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</si>
  <si>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</si>
  <si>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</si>
  <si>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</si>
  <si>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</si>
  <si>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</si>
  <si>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</si>
  <si>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</si>
  <si>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</si>
  <si>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</si>
  <si>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</si>
  <si>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</si>
  <si>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</si>
  <si>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</si>
  <si>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</si>
  <si>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</si>
  <si>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</si>
  <si>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</si>
  <si>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</si>
  <si>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</si>
  <si>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</si>
  <si>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</si>
  <si>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</si>
  <si>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</si>
  <si>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</si>
  <si>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</si>
  <si>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</si>
  <si>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</si>
  <si>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</si>
  <si>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</si>
  <si>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</si>
  <si>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</si>
  <si>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</si>
  <si>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</si>
  <si>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</si>
  <si>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</si>
  <si>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</si>
  <si>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</si>
  <si>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</si>
  <si>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</si>
  <si>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</si>
  <si>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</si>
  <si>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</si>
  <si>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</si>
  <si>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</si>
  <si>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</si>
  <si>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</si>
  <si>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</si>
  <si>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</si>
  <si>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</si>
  <si>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</si>
  <si>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</si>
  <si>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</si>
  <si>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</si>
  <si>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</si>
  <si>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</si>
  <si>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</si>
  <si>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</si>
  <si>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</si>
  <si>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</si>
  <si>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</si>
  <si>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</si>
  <si>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</si>
  <si>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</si>
  <si>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</si>
  <si>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</si>
  <si>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</si>
  <si>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</si>
  <si>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</si>
  <si>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</si>
  <si>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</si>
  <si>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</si>
  <si>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</si>
  <si>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</si>
  <si>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</si>
  <si>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</si>
  <si>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</si>
  <si>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</si>
  <si>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</si>
  <si>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</si>
  <si>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</si>
  <si>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</si>
  <si>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</si>
  <si>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</si>
  <si>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</si>
  <si>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</si>
  <si>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</si>
  <si>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</si>
  <si>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</si>
  <si>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</si>
  <si>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</si>
  <si>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</si>
  <si>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</si>
  <si>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</si>
  <si>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</si>
  <si>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</si>
  <si>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</si>
  <si>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</si>
  <si>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</si>
  <si>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</si>
  <si>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</si>
  <si>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</si>
  <si>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</si>
  <si>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</si>
  <si>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</si>
  <si>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</si>
  <si>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</si>
  <si>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</si>
  <si>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</si>
  <si>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</si>
  <si>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</si>
  <si>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</si>
  <si>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</si>
  <si>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</si>
  <si>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</si>
  <si>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</si>
  <si>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</si>
  <si>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</si>
  <si>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</si>
  <si>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</si>
  <si>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</si>
  <si>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</si>
  <si>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</si>
  <si>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</si>
  <si>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</si>
  <si>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</si>
  <si>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</si>
  <si>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</si>
  <si>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</si>
  <si>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</si>
  <si>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</si>
  <si>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</si>
  <si>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</si>
  <si>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</si>
  <si>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</si>
  <si>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</si>
  <si>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</si>
  <si>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</si>
  <si>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</si>
  <si>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</si>
  <si>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</si>
  <si>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</si>
  <si>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</si>
  <si>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</si>
  <si>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</si>
  <si>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</si>
  <si>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</si>
  <si>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</si>
  <si>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</si>
  <si>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</si>
  <si>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</si>
  <si>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</si>
  <si>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</si>
  <si>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</si>
  <si>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</si>
  <si>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</si>
  <si>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</si>
  <si>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</si>
  <si>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</si>
  <si>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</si>
  <si>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</si>
  <si>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</si>
  <si>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</si>
  <si>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</si>
  <si>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</si>
  <si>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</si>
  <si>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</si>
  <si>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</si>
  <si>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</si>
  <si>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</si>
  <si>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</si>
  <si>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</si>
  <si>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</si>
  <si>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</si>
  <si>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</si>
  <si>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</si>
  <si>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</si>
  <si>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</si>
  <si>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</si>
  <si>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</si>
  <si>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</si>
  <si>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</si>
  <si>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</si>
  <si>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</si>
  <si>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</si>
  <si>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</si>
  <si>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</si>
  <si>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</si>
  <si>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</si>
  <si>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</si>
  <si>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</si>
  <si>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</si>
  <si>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</si>
  <si>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</si>
  <si>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</si>
  <si>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</si>
  <si>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</si>
  <si>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</si>
  <si>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</si>
  <si>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</si>
  <si>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</si>
  <si>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</si>
  <si>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</si>
  <si>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</si>
  <si>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</si>
  <si>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</si>
  <si>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</si>
  <si>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</si>
  <si>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</si>
  <si>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</si>
  <si>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</si>
  <si>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</si>
  <si>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</si>
  <si>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</si>
  <si>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</si>
  <si>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</si>
  <si>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</si>
  <si>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</si>
  <si>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</si>
  <si>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</si>
  <si>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</si>
  <si>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</si>
  <si>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</si>
  <si>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</si>
  <si>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</si>
  <si>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</si>
  <si>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</si>
  <si>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</si>
  <si>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</si>
  <si>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</si>
  <si>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</si>
  <si>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</si>
  <si>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</si>
  <si>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</si>
  <si>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</si>
  <si>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</si>
  <si>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</si>
  <si>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</si>
  <si>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</si>
  <si>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</si>
  <si>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</si>
  <si>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</si>
  <si>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</si>
  <si>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</si>
  <si>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</si>
  <si>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</si>
  <si>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</si>
  <si>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</si>
  <si>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</si>
  <si>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</si>
  <si>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</si>
  <si>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</si>
  <si>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</si>
  <si>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</si>
  <si>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</si>
  <si>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</si>
  <si>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</si>
  <si>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</si>
  <si>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</si>
  <si>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</si>
  <si>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</si>
  <si>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</si>
  <si>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</si>
  <si>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</si>
  <si>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</si>
  <si>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</si>
  <si>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</si>
  <si>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</si>
  <si>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</si>
  <si>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</si>
  <si>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</si>
  <si>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</si>
  <si>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</si>
  <si>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</si>
  <si>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</si>
  <si>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</si>
  <si>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</si>
  <si>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</si>
  <si>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</si>
  <si>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</si>
  <si>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</si>
  <si>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</si>
  <si>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</si>
  <si>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</si>
  <si>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</si>
  <si>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</si>
  <si>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</si>
  <si>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</si>
  <si>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</si>
  <si>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</si>
  <si>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</si>
  <si>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</si>
  <si>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</si>
  <si>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</si>
  <si>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</si>
  <si>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</si>
  <si>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</si>
  <si>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</si>
  <si>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</si>
  <si>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</si>
  <si>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</si>
  <si>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</si>
  <si>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</si>
  <si>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</si>
  <si>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</si>
  <si>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</si>
  <si>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</si>
  <si>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</si>
  <si>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</si>
  <si>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</si>
  <si>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</si>
  <si>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</si>
  <si>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</si>
  <si>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</si>
  <si>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</si>
  <si>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</si>
  <si>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</si>
  <si>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</si>
  <si>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</si>
  <si>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</si>
  <si>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</si>
  <si>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</si>
  <si>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</si>
  <si>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</si>
  <si>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</si>
  <si>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</si>
  <si>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</si>
  <si>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</si>
  <si>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</si>
  <si>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</si>
  <si>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</si>
  <si>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</si>
  <si>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</si>
  <si>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</si>
  <si>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</si>
  <si>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</si>
  <si>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</si>
  <si>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</si>
  <si>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</si>
  <si>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</si>
  <si>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</si>
  <si>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</si>
  <si>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</si>
  <si>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</si>
  <si>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</si>
  <si>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</si>
  <si>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</si>
  <si>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</si>
  <si>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</si>
  <si>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</si>
  <si>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</si>
  <si>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</si>
  <si>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</si>
  <si>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</si>
  <si>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</si>
  <si>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</si>
  <si>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</si>
  <si>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</si>
  <si>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</si>
  <si>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</si>
  <si>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</si>
  <si>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</si>
  <si>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</si>
  <si>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</si>
  <si>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</si>
  <si>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</si>
  <si>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</si>
  <si>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</si>
  <si>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</si>
  <si>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</si>
  <si>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</si>
  <si>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</si>
  <si>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</si>
  <si>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</si>
  <si>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</si>
  <si>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</si>
  <si>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</si>
  <si>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</si>
  <si>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</si>
  <si>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</si>
  <si>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</si>
  <si>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</si>
  <si>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</si>
  <si>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</si>
  <si>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</si>
  <si>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</si>
  <si>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</si>
  <si>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</si>
  <si>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</si>
  <si>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</si>
  <si>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</si>
  <si>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</si>
  <si>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</si>
  <si>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</si>
  <si>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</si>
  <si>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</si>
  <si>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</si>
  <si>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</si>
  <si>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</si>
  <si>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</si>
  <si>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</si>
  <si>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</si>
  <si>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</si>
  <si>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</si>
  <si>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</si>
  <si>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</si>
  <si>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</si>
  <si>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</si>
  <si>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</si>
  <si>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</si>
  <si>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</si>
  <si>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</si>
  <si>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</si>
  <si>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</si>
  <si>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</si>
  <si>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</si>
  <si>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</si>
  <si>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</si>
  <si>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</si>
  <si>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</si>
  <si>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</si>
  <si>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</si>
  <si>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</si>
  <si>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</si>
  <si>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</si>
  <si>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</si>
  <si>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</si>
  <si>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</si>
  <si>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</si>
  <si>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</si>
  <si>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</si>
  <si>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</si>
  <si>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</si>
  <si>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</si>
  <si>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</si>
  <si>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</si>
  <si>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</si>
  <si>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</si>
  <si>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</si>
  <si>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</si>
  <si>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</si>
  <si>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</si>
  <si>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</si>
  <si>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</si>
  <si>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</si>
  <si>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</si>
  <si>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</si>
  <si>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</si>
  <si>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</si>
  <si>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</si>
  <si>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</si>
  <si>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</si>
  <si>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</si>
  <si>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</si>
  <si>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</si>
  <si>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</si>
  <si>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</si>
  <si>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</si>
  <si>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</si>
  <si>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</si>
  <si>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</si>
  <si>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</si>
  <si>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</si>
  <si>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</si>
  <si>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</si>
  <si>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</si>
  <si>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</si>
  <si>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</si>
  <si>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</si>
  <si>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</si>
  <si>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</si>
  <si>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</si>
  <si>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</si>
  <si>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</si>
  <si>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</si>
  <si>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</si>
  <si>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</si>
  <si>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</si>
  <si>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</si>
  <si>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</si>
  <si>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</si>
  <si>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</si>
  <si>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</si>
  <si>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</si>
  <si>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</si>
  <si>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</si>
  <si>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</si>
  <si>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</si>
  <si>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</si>
  <si>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</si>
  <si>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</si>
  <si>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</si>
  <si>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</si>
  <si>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</si>
  <si>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</si>
  <si>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</si>
  <si>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</si>
  <si>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</si>
  <si>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</si>
  <si>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</si>
  <si>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</si>
  <si>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</si>
  <si>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</si>
  <si>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</si>
  <si>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</si>
  <si>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</si>
  <si>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</si>
  <si>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</si>
  <si>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</si>
  <si>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</si>
  <si>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</si>
  <si>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</si>
  <si>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</si>
  <si>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</si>
  <si>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</si>
  <si>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</si>
  <si>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</si>
  <si>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</si>
  <si>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</si>
  <si>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</si>
  <si>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</si>
  <si>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</si>
  <si>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</si>
  <si>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</si>
  <si>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</si>
  <si>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</si>
  <si>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</si>
  <si>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</si>
  <si>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</si>
  <si>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</si>
  <si>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</si>
  <si>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</si>
  <si>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</si>
  <si>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</si>
  <si>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</si>
  <si>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</si>
  <si>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</si>
  <si>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</si>
  <si>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</si>
  <si>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</si>
  <si>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</si>
  <si>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</si>
  <si>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</si>
  <si>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</si>
  <si>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</si>
  <si>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</si>
  <si>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</si>
  <si>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</si>
  <si>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</si>
  <si>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</si>
  <si>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</si>
  <si>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</si>
  <si>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</si>
  <si>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</si>
  <si>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</si>
  <si>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</si>
  <si>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</si>
  <si>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</si>
  <si>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</si>
  <si>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</si>
  <si>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</si>
  <si>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</si>
  <si>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</si>
  <si>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</si>
  <si>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</si>
  <si>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</si>
  <si>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</si>
  <si>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</si>
  <si>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</si>
  <si>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</si>
  <si>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</si>
  <si>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</si>
  <si>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</si>
  <si>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</si>
  <si>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</si>
  <si>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</si>
  <si>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</si>
  <si>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</si>
  <si>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</si>
  <si>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</si>
  <si>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</si>
  <si>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</si>
  <si>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</si>
  <si>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</si>
  <si>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</si>
  <si>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</si>
  <si>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</si>
  <si>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</si>
  <si>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</si>
  <si>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</si>
  <si>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</si>
  <si>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</si>
  <si>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</si>
  <si>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</si>
  <si>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</si>
  <si>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</si>
  <si>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</si>
  <si>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</si>
  <si>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</si>
  <si>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</si>
  <si>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</si>
  <si>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</si>
  <si>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</si>
  <si>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</si>
  <si>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</si>
  <si>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</si>
  <si>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</si>
  <si>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</si>
  <si>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</si>
  <si>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</si>
  <si>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</si>
  <si>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</si>
  <si>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</si>
  <si>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</si>
  <si>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</si>
  <si>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</si>
  <si>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</si>
  <si>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</si>
  <si>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</si>
  <si>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</si>
  <si>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</si>
  <si>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</si>
  <si>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</si>
  <si>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</si>
  <si>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</si>
  <si>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</si>
  <si>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</si>
  <si>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</si>
  <si>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</si>
  <si>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</si>
  <si>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</si>
  <si>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</si>
  <si>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</si>
  <si>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</si>
  <si>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</si>
  <si>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</si>
  <si>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</si>
  <si>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</si>
  <si>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</si>
  <si>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</si>
  <si>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</si>
  <si>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</si>
  <si>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</si>
  <si>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</si>
  <si>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</si>
  <si>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</si>
  <si>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</si>
  <si>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</si>
  <si>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</si>
  <si>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</si>
  <si>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</si>
  <si>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</si>
  <si>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</si>
  <si>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</si>
  <si>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</si>
  <si>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</si>
  <si>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</si>
  <si>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</si>
  <si>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</si>
  <si>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</si>
  <si>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</si>
  <si>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</si>
  <si>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</si>
  <si>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</si>
  <si>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</si>
  <si>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</si>
  <si>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</si>
  <si>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</si>
  <si>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</si>
  <si>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</si>
  <si>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</si>
  <si>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</si>
  <si>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</si>
  <si>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</si>
  <si>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</si>
  <si>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</si>
  <si>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</si>
  <si>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</si>
  <si>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</si>
  <si>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</si>
  <si>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</si>
  <si>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</si>
  <si>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</si>
  <si>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</si>
  <si>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</si>
  <si>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</si>
  <si>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</si>
  <si>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</si>
  <si>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</si>
  <si>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</si>
  <si>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</si>
  <si>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</si>
  <si>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</si>
  <si>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</si>
  <si>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</si>
  <si>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</si>
  <si>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</si>
  <si>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</si>
  <si>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</si>
  <si>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</si>
  <si>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</si>
  <si>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</si>
  <si>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</si>
  <si>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</si>
  <si>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</si>
  <si>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</si>
  <si>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</si>
  <si>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</si>
  <si>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</si>
  <si>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</si>
  <si>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</si>
  <si>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</si>
  <si>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</si>
  <si>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</si>
  <si>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</si>
  <si>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</si>
  <si>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</si>
  <si>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</si>
  <si>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</si>
  <si>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</si>
  <si>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</si>
  <si>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</si>
  <si>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</si>
  <si>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</si>
  <si>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</si>
  <si>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</si>
  <si>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</si>
  <si>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</si>
  <si>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</si>
  <si>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</si>
  <si>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</si>
  <si>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</si>
  <si>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</si>
  <si>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</si>
  <si>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</si>
  <si>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</si>
  <si>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</si>
  <si>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</si>
  <si>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</si>
  <si>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</si>
  <si>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</si>
  <si>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</si>
  <si>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</si>
  <si>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</si>
  <si>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</si>
  <si>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</si>
  <si>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</si>
  <si>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</si>
  <si>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</si>
  <si>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</si>
  <si>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</si>
  <si>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</si>
  <si>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</si>
  <si>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</si>
  <si>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</si>
  <si>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</si>
  <si>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</si>
  <si>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</si>
  <si>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</si>
  <si>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</si>
  <si>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</si>
  <si>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</si>
  <si>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</si>
  <si>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</si>
  <si>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</si>
  <si>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</si>
  <si>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</si>
  <si>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</si>
  <si>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</si>
  <si>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</si>
  <si>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</si>
  <si>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</si>
  <si>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</si>
  <si>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</si>
  <si>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</si>
  <si>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</si>
  <si>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</si>
  <si>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</si>
  <si>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</si>
  <si>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</si>
  <si>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</si>
  <si>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</si>
  <si>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</si>
  <si>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</si>
  <si>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</si>
  <si>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</si>
  <si>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</si>
  <si>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</si>
  <si>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</si>
  <si>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</si>
  <si>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</si>
  <si>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</si>
  <si>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</si>
  <si>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</si>
  <si>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</si>
  <si>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</si>
  <si>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</si>
  <si>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</si>
  <si>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</si>
  <si>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</si>
  <si>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</si>
  <si>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</si>
  <si>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</si>
  <si>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</si>
  <si>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</si>
  <si>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</si>
  <si>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</si>
  <si>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</si>
  <si>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</si>
  <si>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</si>
  <si>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</si>
  <si>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</si>
  <si>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</si>
  <si>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</si>
  <si>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</si>
  <si>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</si>
  <si>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</si>
  <si>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</si>
  <si>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</si>
  <si>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</si>
  <si>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</si>
  <si>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</si>
  <si>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</si>
  <si>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</si>
  <si>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</si>
  <si>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</si>
  <si>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</si>
  <si>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</si>
  <si>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</si>
  <si>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</si>
  <si>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</si>
  <si>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</si>
  <si>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</si>
  <si>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</si>
  <si>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</si>
  <si>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</si>
  <si>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</si>
  <si>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</si>
  <si>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</si>
  <si>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</si>
  <si>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</si>
  <si>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</si>
  <si>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</si>
  <si>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</si>
  <si>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</si>
  <si>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</si>
  <si>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</si>
  <si>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</si>
  <si>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</si>
  <si>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</si>
  <si>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</si>
  <si>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</si>
  <si>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</si>
  <si>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</si>
  <si>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</si>
  <si>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</si>
  <si>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</si>
  <si>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</si>
  <si>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</si>
  <si>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</si>
  <si>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</si>
  <si>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</si>
  <si>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</si>
  <si>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</si>
  <si>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</si>
  <si>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</si>
  <si>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</si>
  <si>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</si>
  <si>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</si>
  <si>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</si>
  <si>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</si>
  <si>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</si>
  <si>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</si>
  <si>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</si>
  <si>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</si>
  <si>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</si>
  <si>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</si>
  <si>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</si>
  <si>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</si>
  <si>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</si>
  <si>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</si>
  <si>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</si>
  <si>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</si>
  <si>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</si>
  <si>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</si>
  <si>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</si>
  <si>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</si>
  <si>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</si>
  <si>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</si>
  <si>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</si>
  <si>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</si>
  <si>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</si>
  <si>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</si>
  <si>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</si>
  <si>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</si>
  <si>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</si>
  <si>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</si>
  <si>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</si>
  <si>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</si>
  <si>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</si>
  <si>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</si>
  <si>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</si>
  <si>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</si>
  <si>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</si>
  <si>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</si>
  <si>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</si>
  <si>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</si>
  <si>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</si>
  <si>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</si>
  <si>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</si>
  <si>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</si>
  <si>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</si>
  <si>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</si>
  <si>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</si>
  <si>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</si>
  <si>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</si>
  <si>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</si>
  <si>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</si>
  <si>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</si>
  <si>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</si>
  <si>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</si>
  <si>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</si>
  <si>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</si>
  <si>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</si>
  <si>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</si>
  <si>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</si>
  <si>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</si>
  <si>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</si>
  <si>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</si>
  <si>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</si>
  <si>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</si>
  <si>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</si>
  <si>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</si>
  <si>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</si>
  <si>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</si>
  <si>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</si>
  <si>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</si>
  <si>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</si>
  <si>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</si>
  <si>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</si>
  <si>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</si>
  <si>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</si>
  <si>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</si>
  <si>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</si>
  <si>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</si>
  <si>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</si>
  <si>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</si>
  <si>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</si>
  <si>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</si>
  <si>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</si>
  <si>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</si>
  <si>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</si>
  <si>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</si>
  <si>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</si>
  <si>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</si>
  <si>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</si>
  <si>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</si>
  <si>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</si>
  <si>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</si>
  <si>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</si>
  <si>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</si>
  <si>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</si>
  <si>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</si>
  <si>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</si>
  <si>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</si>
  <si>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</si>
  <si>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</si>
  <si>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</si>
  <si>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</si>
  <si>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</si>
  <si>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</si>
  <si>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</si>
  <si>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</si>
  <si>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</si>
  <si>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</si>
  <si>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</si>
  <si>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</si>
  <si>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</si>
  <si>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</si>
  <si>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</si>
  <si>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</si>
  <si>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</si>
  <si>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</si>
  <si>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</si>
  <si>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</si>
  <si>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</si>
  <si>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</si>
  <si>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</si>
  <si>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</si>
  <si>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</si>
  <si>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</si>
  <si>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</si>
  <si>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</si>
  <si>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</si>
  <si>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</si>
  <si>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</si>
  <si>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</si>
  <si>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</si>
  <si>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</si>
  <si>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</si>
  <si>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</si>
  <si>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</si>
  <si>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</si>
  <si>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</si>
  <si>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</si>
  <si>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</si>
  <si>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</si>
  <si>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</si>
  <si>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</si>
  <si>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</si>
  <si>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</si>
  <si>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</si>
  <si>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</si>
  <si>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</si>
  <si>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</si>
  <si>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</si>
  <si>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</si>
  <si>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</si>
  <si>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</si>
  <si>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</si>
  <si>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</si>
  <si>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</si>
  <si>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</si>
  <si>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</si>
  <si>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</si>
  <si>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</si>
  <si>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</si>
  <si>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</si>
  <si>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</si>
  <si>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</si>
  <si>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</si>
  <si>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</si>
  <si>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</si>
  <si>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</si>
  <si>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</si>
  <si>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</si>
  <si>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</si>
  <si>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</si>
  <si>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</si>
  <si>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</si>
  <si>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</si>
  <si>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</si>
  <si>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</si>
  <si>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</si>
  <si>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</si>
  <si>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</si>
  <si>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</si>
  <si>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</si>
  <si>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</si>
  <si>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</si>
  <si>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</si>
  <si>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</si>
  <si>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</si>
  <si>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</si>
  <si>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</si>
  <si>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</si>
  <si>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</si>
  <si>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</si>
  <si>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</si>
  <si>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</si>
  <si>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</si>
  <si>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</si>
  <si>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</si>
  <si>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</si>
  <si>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</si>
  <si>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</si>
  <si>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</si>
  <si>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</si>
  <si>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</si>
  <si>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</si>
  <si>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</si>
  <si>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</si>
  <si>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</si>
  <si>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</si>
  <si>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</si>
  <si>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</si>
  <si>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</si>
  <si>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</si>
  <si>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</si>
  <si>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</si>
  <si>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</si>
  <si>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</si>
  <si>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</si>
  <si>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</si>
  <si>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</si>
  <si>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</si>
  <si>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</si>
  <si>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</si>
  <si>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</si>
  <si>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</si>
  <si>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</si>
  <si>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</si>
  <si>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</si>
  <si>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</si>
  <si>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</si>
  <si>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</si>
  <si>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</si>
  <si>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</si>
  <si>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</si>
  <si>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</si>
  <si>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</si>
  <si>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</si>
  <si>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</si>
  <si>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</si>
  <si>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</si>
  <si>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</si>
  <si>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</si>
  <si>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</si>
  <si>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</si>
  <si>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</si>
  <si>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</si>
  <si>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</si>
  <si>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</si>
  <si>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</si>
  <si>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</si>
  <si>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</si>
  <si>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</si>
  <si>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</si>
  <si>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</si>
  <si>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</si>
  <si>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</si>
  <si>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</si>
  <si>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</si>
  <si>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</si>
  <si>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</si>
  <si>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</si>
  <si>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</si>
  <si>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</si>
  <si>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</si>
  <si>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</si>
  <si>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</si>
  <si>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</si>
  <si>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</si>
  <si>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</si>
  <si>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</si>
  <si>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</si>
  <si>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</si>
  <si>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</si>
  <si>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</si>
  <si>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</si>
  <si>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</si>
  <si>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</si>
  <si>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</si>
  <si>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</si>
  <si>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</si>
  <si>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</si>
  <si>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</si>
  <si>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</si>
  <si>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</si>
  <si>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</si>
  <si>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</si>
  <si>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</si>
  <si>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</si>
  <si>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</si>
  <si>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</si>
  <si>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</si>
  <si>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</si>
  <si>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</si>
  <si>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</si>
  <si>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</si>
  <si>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</si>
  <si>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</si>
  <si>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</si>
  <si>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</si>
  <si>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</si>
  <si>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</si>
  <si>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</si>
  <si>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</si>
  <si>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</si>
  <si>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</si>
  <si>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</si>
  <si>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</si>
  <si>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</si>
  <si>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</si>
  <si>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</si>
  <si>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</si>
  <si>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</si>
  <si>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</si>
  <si>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</si>
  <si>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</si>
  <si>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</si>
  <si>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</si>
  <si>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</si>
  <si>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</si>
  <si>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</si>
  <si>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</si>
  <si>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</si>
  <si>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</si>
  <si>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</si>
  <si>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</si>
  <si>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</si>
  <si>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</si>
  <si>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</si>
  <si>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</si>
  <si>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</si>
  <si>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</si>
  <si>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</si>
  <si>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</si>
  <si>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</si>
  <si>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</si>
  <si>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</si>
  <si>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</si>
  <si>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</si>
  <si>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</si>
  <si>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</si>
  <si>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</si>
  <si>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</si>
  <si>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</si>
  <si>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</si>
  <si>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</si>
  <si>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</si>
  <si>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</si>
  <si>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</si>
  <si>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</si>
  <si>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</si>
  <si>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</si>
  <si>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</si>
  <si>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</si>
  <si>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</si>
  <si>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</si>
  <si>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</si>
  <si>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</si>
  <si>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</si>
  <si>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</si>
  <si>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</si>
  <si>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</si>
  <si>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</si>
  <si>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</si>
  <si>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</si>
  <si>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</si>
  <si>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</si>
  <si>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</si>
  <si>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</si>
  <si>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</si>
  <si>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</si>
  <si>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</si>
  <si>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</si>
  <si>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</si>
  <si>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</si>
  <si>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</si>
  <si>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</si>
  <si>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</si>
  <si>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</si>
  <si>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</si>
  <si>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</si>
  <si>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</si>
  <si>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</si>
  <si>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</si>
  <si>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</si>
  <si>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</si>
  <si>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</si>
  <si>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</si>
  <si>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</si>
  <si>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</si>
  <si>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</si>
  <si>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</si>
  <si>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</si>
  <si>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</si>
  <si>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</si>
  <si>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</si>
  <si>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</si>
  <si>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</si>
  <si>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</si>
  <si>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</si>
  <si>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</si>
  <si>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</si>
  <si>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</si>
  <si>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</si>
  <si>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</si>
  <si>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</si>
  <si>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</si>
  <si>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</si>
  <si>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</si>
  <si>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</si>
  <si>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</si>
  <si>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</si>
  <si>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</si>
  <si>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</si>
  <si>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</si>
  <si>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</si>
  <si>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</si>
  <si>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</si>
  <si>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</si>
  <si>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</si>
  <si>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</si>
  <si>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</si>
  <si>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</si>
  <si>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</si>
  <si>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</si>
  <si>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</si>
  <si>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</si>
  <si>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</si>
  <si>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</si>
  <si>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</si>
  <si>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</si>
  <si>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</si>
  <si>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</si>
  <si>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</si>
  <si>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</si>
  <si>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</si>
  <si>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</si>
  <si>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</si>
  <si>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</si>
  <si>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</si>
  <si>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</si>
  <si>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</si>
  <si>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</si>
  <si>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</si>
  <si>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</si>
  <si>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</si>
  <si>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</si>
  <si>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</si>
  <si>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</si>
  <si>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</si>
  <si>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</si>
  <si>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</si>
  <si>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</si>
  <si>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</si>
  <si>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</si>
  <si>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</si>
  <si>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</si>
  <si>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</si>
  <si>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</si>
  <si>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</si>
  <si>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</si>
  <si>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</si>
  <si>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</si>
  <si>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</si>
  <si>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</si>
  <si>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</si>
  <si>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</si>
  <si>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</si>
  <si>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</si>
  <si>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</si>
  <si>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</si>
  <si>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</si>
  <si>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</si>
  <si>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</si>
  <si>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</si>
  <si>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</si>
  <si>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</si>
  <si>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</si>
  <si>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</si>
  <si>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</si>
  <si>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</si>
  <si>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</si>
  <si>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</si>
  <si>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</si>
  <si>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</si>
  <si>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</si>
  <si>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</si>
  <si>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</si>
  <si>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</si>
  <si>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</si>
  <si>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</si>
  <si>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</si>
  <si>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</si>
  <si>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</si>
  <si>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</si>
  <si>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</si>
  <si>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</si>
  <si>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</si>
  <si>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</si>
  <si>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</si>
  <si>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</si>
  <si>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</si>
  <si>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</si>
  <si>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</si>
  <si>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</si>
  <si>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</si>
  <si>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</si>
  <si>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</si>
  <si>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</si>
  <si>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</si>
  <si>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</si>
  <si>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</si>
  <si>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</si>
  <si>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</si>
  <si>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</si>
  <si>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</si>
  <si>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</si>
  <si>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</si>
  <si>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</si>
  <si>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</si>
  <si>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</si>
  <si>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</si>
  <si>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</si>
  <si>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</si>
  <si>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</si>
  <si>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</si>
  <si>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</si>
  <si>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</si>
  <si>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</si>
  <si>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</si>
  <si>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</si>
  <si>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</si>
  <si>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</si>
  <si>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</si>
  <si>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</si>
  <si>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</si>
  <si>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</si>
  <si>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</si>
  <si>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</si>
  <si>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</si>
  <si>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</si>
  <si>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</si>
  <si>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</si>
  <si>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</si>
  <si>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</si>
  <si>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</si>
  <si>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</si>
  <si>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</si>
  <si>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</si>
  <si>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</si>
  <si>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</si>
  <si>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</si>
  <si>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</si>
  <si>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</si>
  <si>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</si>
  <si>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</si>
  <si>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</si>
  <si>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</si>
  <si>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</si>
  <si>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</si>
  <si>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</si>
  <si>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</si>
  <si>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</si>
  <si>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</si>
  <si>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</si>
  <si>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</si>
  <si>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</si>
  <si>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</si>
  <si>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</si>
  <si>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</si>
  <si>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</si>
  <si>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</si>
  <si>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</si>
  <si>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</si>
  <si>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</si>
  <si>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</si>
  <si>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</si>
  <si>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</si>
  <si>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</si>
  <si>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</si>
  <si>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</si>
  <si>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</si>
  <si>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</si>
  <si>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</si>
  <si>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</si>
  <si>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</si>
  <si>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</si>
  <si>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</si>
  <si>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</si>
  <si>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</si>
  <si>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</si>
  <si>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</si>
  <si>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</si>
  <si>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</si>
  <si>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</si>
  <si>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</si>
  <si>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</si>
  <si>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</si>
  <si>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</si>
  <si>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</si>
  <si>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</si>
  <si>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</si>
  <si>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</si>
  <si>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</si>
  <si>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</si>
  <si>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</si>
  <si>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</si>
  <si>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</si>
  <si>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</si>
  <si>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</si>
  <si>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</si>
  <si>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</si>
  <si>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</si>
  <si>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</si>
  <si>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</si>
  <si>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</si>
  <si>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</si>
  <si>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</si>
  <si>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</si>
  <si>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</si>
  <si>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</si>
  <si>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</si>
  <si>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</si>
  <si>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</si>
  <si>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</si>
  <si>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</si>
  <si>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</si>
  <si>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</si>
  <si>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</si>
  <si>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</si>
  <si>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</si>
  <si>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</si>
  <si>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</si>
  <si>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</si>
  <si>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</si>
  <si>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</si>
  <si>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</si>
  <si>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</si>
  <si>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</si>
  <si>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</si>
  <si>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</si>
  <si>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</si>
  <si>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</si>
  <si>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</si>
  <si>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</si>
  <si>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</si>
  <si>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</si>
  <si>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</si>
  <si>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</si>
  <si>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</si>
  <si>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</si>
  <si>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</si>
  <si>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</si>
  <si>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</si>
  <si>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</si>
  <si>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</si>
  <si>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</si>
  <si>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</si>
  <si>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</si>
  <si>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</si>
  <si>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</si>
  <si>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</si>
  <si>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</si>
  <si>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</si>
  <si>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</si>
  <si>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</si>
  <si>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</si>
  <si>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</si>
  <si>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</si>
  <si>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</si>
  <si>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</si>
  <si>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</si>
  <si>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</si>
  <si>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</si>
  <si>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</si>
  <si>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</si>
  <si>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</si>
  <si>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</si>
  <si>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</si>
  <si>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</si>
  <si>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</si>
  <si>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</si>
  <si>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</si>
  <si>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</si>
  <si>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</si>
  <si>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</si>
  <si>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</si>
  <si>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</si>
  <si>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</si>
  <si>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</si>
  <si>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</si>
  <si>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</si>
  <si>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</si>
  <si>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</si>
  <si>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</si>
  <si>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</si>
  <si>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</si>
  <si>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</si>
  <si>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</si>
  <si>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</si>
  <si>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</si>
  <si>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</si>
  <si>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</si>
  <si>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</si>
  <si>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</si>
  <si>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</si>
  <si>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</si>
  <si>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</si>
  <si>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</si>
  <si>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</si>
  <si>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</si>
  <si>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</si>
  <si>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</si>
  <si>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</si>
  <si>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</si>
  <si>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</si>
  <si>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</si>
  <si>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</si>
  <si>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</si>
  <si>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</si>
  <si>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</si>
  <si>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</si>
  <si>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</si>
  <si>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</si>
  <si>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</si>
  <si>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</si>
  <si>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</si>
  <si>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</si>
  <si>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</si>
  <si>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</si>
  <si>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</si>
  <si>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</si>
  <si>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</si>
  <si>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</si>
  <si>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</si>
  <si>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</si>
  <si>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</si>
  <si>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</si>
  <si>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</si>
  <si>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</si>
  <si>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</si>
  <si>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</si>
  <si>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</si>
  <si>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</si>
  <si>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</si>
  <si>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</si>
  <si>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</si>
  <si>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</si>
  <si>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</si>
  <si>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</si>
  <si>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</si>
  <si>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</si>
  <si>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</si>
  <si>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</si>
  <si>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</si>
  <si>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</si>
  <si>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</si>
  <si>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</si>
  <si>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</si>
  <si>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</si>
  <si>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</si>
  <si>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</si>
  <si>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</si>
  <si>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</si>
  <si>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</si>
  <si>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</si>
  <si>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</si>
  <si>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</si>
  <si>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</si>
  <si>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</si>
  <si>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</si>
  <si>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</si>
  <si>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</si>
  <si>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</si>
  <si>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</si>
  <si>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</si>
  <si>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</si>
  <si>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</si>
  <si>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</si>
  <si>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</si>
  <si>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</si>
  <si>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</si>
  <si>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</si>
  <si>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</si>
  <si>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</si>
  <si>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</si>
  <si>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</si>
  <si>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</si>
  <si>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</si>
  <si>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</si>
  <si>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</si>
  <si>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</si>
  <si>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</si>
  <si>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</si>
  <si>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</si>
  <si>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</si>
  <si>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</si>
  <si>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</si>
  <si>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</si>
  <si>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</si>
  <si>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</si>
  <si>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</si>
  <si>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</si>
  <si>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</si>
  <si>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</si>
  <si>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</si>
  <si>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</si>
  <si>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</si>
  <si>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</si>
  <si>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</si>
  <si>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</si>
  <si>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</si>
  <si>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</si>
  <si>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</si>
  <si>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</si>
  <si>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</si>
  <si>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</si>
  <si>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</si>
  <si>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</si>
  <si>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</si>
  <si>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</si>
  <si>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</si>
  <si>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</si>
  <si>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</si>
  <si>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</si>
  <si>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</si>
  <si>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</si>
  <si>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</si>
  <si>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</si>
  <si>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</si>
  <si>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</si>
  <si>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</si>
  <si>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</si>
  <si>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</si>
  <si>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</si>
  <si>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</si>
  <si>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</si>
  <si>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</si>
  <si>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</si>
  <si>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</si>
  <si>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</si>
  <si>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</si>
  <si>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</si>
  <si>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</si>
  <si>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</si>
  <si>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</si>
  <si>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</si>
  <si>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</si>
  <si>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</si>
  <si>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</si>
  <si>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</si>
  <si>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</si>
  <si>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</si>
  <si>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</si>
  <si>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</si>
  <si>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</si>
  <si>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</si>
  <si>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</si>
  <si>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</si>
  <si>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</si>
  <si>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</si>
  <si>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</si>
  <si>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</si>
  <si>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</si>
  <si>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</si>
  <si>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</si>
  <si>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</si>
  <si>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</si>
  <si>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</si>
  <si>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</si>
  <si>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</si>
  <si>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</si>
  <si>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</si>
  <si>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</si>
  <si>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</si>
  <si>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</si>
  <si>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</si>
  <si>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</si>
  <si>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</si>
  <si>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</si>
  <si>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</si>
  <si>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</si>
  <si>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</si>
  <si>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</si>
  <si>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</si>
  <si>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</si>
  <si>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</si>
  <si>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</si>
  <si>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</si>
  <si>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</si>
  <si>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</si>
  <si>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</si>
  <si>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</si>
  <si>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</si>
  <si>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</si>
  <si>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</si>
  <si>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</si>
  <si>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</si>
  <si>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</si>
  <si>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</si>
  <si>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</si>
  <si>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</si>
  <si>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</si>
  <si>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</si>
  <si>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</si>
  <si>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</si>
  <si>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</si>
  <si>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</si>
  <si>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</si>
  <si>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</si>
  <si>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</si>
  <si>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</si>
  <si>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</si>
  <si>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</si>
  <si>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</si>
  <si>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</si>
  <si>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</si>
  <si>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</si>
  <si>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</si>
  <si>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</si>
  <si>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</si>
  <si>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</si>
  <si>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</si>
  <si>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</si>
  <si>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</si>
  <si>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</si>
  <si>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</si>
  <si>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</si>
  <si>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</si>
  <si>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</si>
  <si>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</si>
  <si>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</si>
  <si>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</si>
  <si>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</si>
  <si>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</si>
  <si>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</si>
  <si>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</si>
  <si>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</si>
  <si>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</si>
  <si>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</si>
  <si>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</si>
  <si>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</si>
  <si>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</si>
  <si>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</si>
  <si>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</si>
  <si>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</si>
  <si>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</si>
  <si>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</si>
  <si>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</si>
  <si>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</si>
  <si>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</si>
  <si>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</si>
  <si>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</si>
  <si>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</si>
  <si>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</si>
  <si>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</si>
  <si>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</si>
  <si>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</si>
  <si>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</si>
  <si>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</si>
  <si>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</si>
  <si>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</si>
  <si>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</si>
  <si>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</si>
  <si>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</si>
  <si>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</si>
  <si>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</si>
  <si>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</si>
  <si>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</si>
  <si>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</si>
  <si>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</si>
  <si>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</si>
  <si>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</si>
  <si>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</si>
  <si>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</si>
  <si>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</si>
  <si>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</si>
  <si>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</si>
  <si>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</si>
  <si>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</si>
  <si>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</si>
  <si>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</si>
  <si>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</si>
  <si>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</si>
  <si>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</si>
  <si>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</si>
  <si>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</si>
  <si>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</si>
  <si>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</si>
  <si>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</si>
  <si>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</si>
  <si>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</si>
  <si>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</si>
  <si>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</si>
  <si>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</si>
  <si>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</si>
  <si>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</si>
  <si>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</si>
  <si>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</si>
  <si>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</si>
  <si>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</si>
  <si>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</si>
  <si>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</si>
  <si>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</si>
  <si>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</si>
  <si>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</si>
  <si>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</si>
  <si>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</si>
  <si>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</si>
  <si>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</si>
  <si>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</si>
  <si>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</si>
  <si>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</si>
  <si>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</si>
  <si>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</si>
  <si>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</si>
  <si>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</si>
  <si>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</si>
  <si>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</si>
  <si>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</si>
  <si>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</si>
  <si>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</si>
  <si>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</si>
  <si>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</si>
  <si>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</si>
  <si>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</si>
  <si>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</si>
  <si>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</si>
  <si>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</si>
  <si>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</si>
  <si>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</si>
  <si>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</si>
  <si>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</si>
  <si>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</si>
  <si>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</si>
  <si>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</si>
  <si>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</si>
  <si>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</si>
  <si>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</si>
  <si>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</si>
  <si>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</si>
  <si>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</si>
  <si>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</si>
  <si>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</si>
  <si>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</si>
  <si>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</si>
  <si>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</si>
  <si>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</si>
  <si>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Acquisition/Rehab</t>
  </si>
  <si>
    <t>No</t>
  </si>
  <si>
    <t>Residential</t>
  </si>
  <si>
    <t>HUD</t>
  </si>
  <si>
    <t>Yes</t>
  </si>
  <si>
    <t>Macon Gardens</t>
  </si>
  <si>
    <t>3601 Mercer University Drive</t>
  </si>
  <si>
    <t>Within City Limits</t>
  </si>
  <si>
    <t>Competitive Round</t>
  </si>
  <si>
    <t>Torian R. Priestly</t>
  </si>
  <si>
    <t>Executive Vice President</t>
  </si>
  <si>
    <t>5605 Glenridge Drive, Suite 100</t>
  </si>
  <si>
    <t>tpriestly@thebenoitgroup.com</t>
  </si>
  <si>
    <t>Family</t>
  </si>
  <si>
    <t>PA14-33</t>
  </si>
  <si>
    <t>Macon-Bibb County</t>
  </si>
  <si>
    <t>Robert A.B. Reichert</t>
  </si>
  <si>
    <t>Mayor</t>
  </si>
  <si>
    <t>700 Popular Street</t>
  </si>
  <si>
    <t>maconbibb.us</t>
  </si>
  <si>
    <t>rreichert@maconbibb.us</t>
  </si>
  <si>
    <t>TBG Macon Gardens, LP</t>
  </si>
  <si>
    <t>Eddy Benoit, Jr.</t>
  </si>
  <si>
    <t>Manager</t>
  </si>
  <si>
    <t>ebenoit@thebenoitgroup.com</t>
  </si>
  <si>
    <t>TBG Macon Gardens GP, LLC</t>
  </si>
  <si>
    <t xml:space="preserve">Eddy Benoit, Jr. </t>
  </si>
  <si>
    <t>The Benoit Group Development Company, LLC</t>
  </si>
  <si>
    <t>www.thebenoitgroup.com</t>
  </si>
  <si>
    <t>H.J. Russell and Company</t>
  </si>
  <si>
    <t>H. Jerome Russell</t>
  </si>
  <si>
    <t>President</t>
  </si>
  <si>
    <t>504 Fair Street, SW</t>
  </si>
  <si>
    <t>www.hjrussell.com</t>
  </si>
  <si>
    <t>jrussell@hjrussell.com</t>
  </si>
  <si>
    <t>Dorchester Management</t>
  </si>
  <si>
    <t>Tina Sibley</t>
  </si>
  <si>
    <t>Regional VP</t>
  </si>
  <si>
    <t>tsibley@dorchestermgmt.com</t>
  </si>
  <si>
    <t>DLA Piper LLP</t>
  </si>
  <si>
    <t>Elizabeth H. Friedgut</t>
  </si>
  <si>
    <t>Partner</t>
  </si>
  <si>
    <t>203 North LaSalle Street, Suite 1900</t>
  </si>
  <si>
    <t>Chicago</t>
  </si>
  <si>
    <t>www.dlapiper.com</t>
  </si>
  <si>
    <t>elizabeth.friedgut@dlapiper.com</t>
  </si>
  <si>
    <t>Cohn Reznick</t>
  </si>
  <si>
    <t>Josh Northcutt</t>
  </si>
  <si>
    <t>2560 Lenox Road NE, Suite 2800</t>
  </si>
  <si>
    <t>Managing Partner</t>
  </si>
  <si>
    <t>www.cohnreznick.com</t>
  </si>
  <si>
    <t>joshua.northcutt@cohnreznick.com</t>
  </si>
  <si>
    <t>Martin Riley and Associates</t>
  </si>
  <si>
    <t>Michael T. Riley</t>
  </si>
  <si>
    <t>215 Church Street, Suite 200</t>
  </si>
  <si>
    <t>www.martinriley.com</t>
  </si>
  <si>
    <t>Architect</t>
  </si>
  <si>
    <t>mriley@martinriley.com</t>
  </si>
  <si>
    <t>For Profit</t>
  </si>
  <si>
    <t>Macon Bibb County Loan</t>
  </si>
  <si>
    <t>CRS Services for TC app</t>
  </si>
  <si>
    <t>Physical Needs Assessment</t>
  </si>
  <si>
    <t>Lender Application Fee</t>
  </si>
  <si>
    <t>Lender Legal</t>
  </si>
  <si>
    <t>Landscape Design</t>
  </si>
  <si>
    <t>Fitness Equipment/Computers</t>
  </si>
  <si>
    <t>Equity Legal</t>
  </si>
  <si>
    <t>Pursuit and Travel (Application Fee)</t>
  </si>
  <si>
    <t>The property is intended for families at 50% and 60% AMI</t>
  </si>
  <si>
    <t>Agree</t>
  </si>
  <si>
    <t>Birthday parties, holiday parties, and annual cookouts</t>
  </si>
  <si>
    <t>Real Property Research Group, Inc.</t>
  </si>
  <si>
    <t>Everson, Huber and Associates, LLC</t>
  </si>
  <si>
    <t>The appraisal is located at Binder Tab 6 Appraisal and Electronic Folder 06Appraisal</t>
  </si>
  <si>
    <t>Macon Bibb County</t>
  </si>
  <si>
    <t>Chase</t>
  </si>
  <si>
    <t>The Benoit Group</t>
  </si>
  <si>
    <t>Raymond James</t>
  </si>
  <si>
    <t>Software Costs/Compliance</t>
  </si>
  <si>
    <t>Cable - Common area</t>
  </si>
  <si>
    <t>July 1. 2013</t>
  </si>
  <si>
    <t>Amortizing</t>
  </si>
  <si>
    <t xml:space="preserve">Developer / Sponsor:  The Benoit Group, LLC
Units:  132 
Location:  3601 Mercer University Drive, Macon Georgia
PROJECT NARRATIVE
The proposed affordable multi-family project Macon Gardens is approximately 2 ½ mile from Interstate 475 off Thomaston Road.  Macon Gardens is an existing 132-unit multi-family development built in 1978 and currently owned by Macon Properties, LTD.. 
The Benoit Group Development Company is currently working closely with Macon/Bibb County to renovate Macon Gardens, a 132-unit low income (as defined by the Department of Housing and Urban Development) elderly multi-family development.  The project has a 132 unit HAP contract with HUD for all units and will utilize tax credit equity and conventional debt to renovate the property at approximately $48K per unit.  The 132 units will consist of a unit mix of fifty-five (55) 1BR/1BA units, forty-eight (48) 2BR/1BA units, twenty-four (24) 3BR/1½ BA units, and five (5) 4BR/2BA units in twenty (20) buildings.  Macon Gardens Census Tract (0132.01) is located in a moderate income, high minority concentration, with 20% poverty per the FFIEC data (see attached).  The proposed Borrower Entity will be TBG Macon Gardens, LP with The Benoit Group having 100% ownership in the TBG Macon Gardens GP, LLC entity, whereby The Benoit Group will be the Managing Member.  
HUD Priority Point Approval has been received for the Macon Gardens Redevelopment.   HUD has given this designation based upon the physical condition history of Macon Gardens and the demonstrated need to preserve affordable housing in Macon, coupled with the potential loss of subsidy for a vulnerable resident population.  HUD concluded that Macon Gardens meets the established criteria for consideration due to current risk factors.  Per HUD, Macon Gardens represents a critically important affordable housing asset that warrants all preservation efforts. 
Retail and commercial establishments are the predominate land use in the site’s immediate area,  which includes  grocery stores, restaurants, automotive related businesses, banks, offices, and consumer goods retailers.  In close proximity you will also find transportation options and extensive services and a mall located within less than 1 mile from the site.  
The Project will offer a variety of services to residents on-site, which will be part of The Benoit Group's "Social Expression Program."  These services will include planned social and recreational activities and monthly classes, such as arts and crafts, computer training, and exercise.
Planned amenities include community clubhouse and leasing office, upgraded laundry facilities and exercise room. The project will also have a computer center, and a courtyard with various gazebos and sitting areas. 
                                                                                                                                                                                                                                                                                                                                                                            SECURITY, SAFETY, AND PRIVACY
Because safety and security is a concern for the residents, Macon Gardens will focus on some of the exterior amenities that include controlled access into the community and a security system with cameras.
The Benoit Group, LLC is a privately owned, full service real estate development firm specializing in delivering high-quality, amenity-rich, service-oriented housing solutions to the affordable, elderly and market-rate housing sectors throughout the United States. 
PROPOSED FINANCIAL PROJECTIONS
Total Development Cost $12.3M
Federal LIHTC Equity $7.8M
State LIHTC Equity $2.9M
Macon/Bibb Financial Assistance $250,000
Construction Cost (SF) $57.19 
Construction Cost (Per Unit) $48,558
PROPOSED UNIT AMENITIES &amp; PROJECT AMENITIES
X Range  
X Refrigerator
X Community Room
X Dishwasher 
X Monument Signage
X Disposal 
X Sod and irrigation
X Exercise Room
X Air Conditioning  
X On Site Management
X Carpeting
X Monthly Resident Service Programs
X Laundry Room 
X On Site Management
X Energy Star Appliances &amp; Lighting 
X Monthly Resident Service Programs
X Window Coverings 
X Picnic Area
X Ceiling Fans
 X Picnic Area
 X Vinyl Planck Flooring 
</t>
  </si>
  <si>
    <t>32.826039, -83.674503</t>
  </si>
  <si>
    <t>Section V.  Project Description for Acquisition/Rehabilitation, the date of original construction - the project site was built circa 1977 and requires rehabiliation in order to meet the requirements of the the current Georgia building codes and regulations.</t>
  </si>
  <si>
    <t>TBD</t>
  </si>
  <si>
    <t>The Benoit Group, LLC will utilize their service oriented company called "Social Expressions" to provide basic ongoing services to residents at the property.</t>
  </si>
  <si>
    <t>10 Months</t>
  </si>
  <si>
    <t xml:space="preserve">According to Exhibit B to Appendix II of Georgia DCA 2014 Qualified Action Plan Previous Project, one tax credit deals has been awarded in the Macon Jurisdiction with the last five (5) funding cycles.  The Market Study is  located at Binder Tab 05 and Electronic Folder 05 0501012014-0xxMcnGdnsMS </t>
  </si>
  <si>
    <t>2009-41</t>
  </si>
  <si>
    <t>Bartlett Crossing</t>
  </si>
  <si>
    <t>Geotechnical &amp; Environmental Consultants, Inc</t>
  </si>
  <si>
    <t>The proximity to Mercer University Drive.</t>
  </si>
  <si>
    <t>There are no other environmental issues.</t>
  </si>
  <si>
    <t>Macon Properties, LTD</t>
  </si>
  <si>
    <t>The purchase and sales agreement is located at Binder Tab 08 Site Control and Electronic Folder 08SiteControl.</t>
  </si>
  <si>
    <t>The completed survey illustrating legally accessible paved roads is located at Binder Tab 09 Site Access and Electronic Folder at 09SiteAccess.</t>
  </si>
  <si>
    <t>the zoning verification letter from the authorized local government official is located at Binder Tab 10 Zoning and Electronic Folder 10Zoning.</t>
  </si>
  <si>
    <t>Macon Water Authority</t>
  </si>
  <si>
    <t>Atlanta Gas Light</t>
  </si>
  <si>
    <t>Georgia Power</t>
  </si>
  <si>
    <t>The letters from the approvpirate ultility company are located at Binder Tab 11 Utilities and Electronic Folder 11Utilities.</t>
  </si>
  <si>
    <t>Letters from the appropriate water/sanitary sewer company is located at Binder Tab 12 Water and Sewer and Electronic Folder 12WtrSwr.</t>
  </si>
  <si>
    <t>Macon Telegraph</t>
  </si>
  <si>
    <t>The Macon-Bibb county commissioners allowed several presentation starting on April 22, 2014 to the Commissioners Committee.  The meeting are advertised on their website and carried by the local TV 13 news station.  Evidence of the public meetings and local government support is located at Binder Tab 13 Local Govt adn Electronic Folder 13LocalGvt.</t>
  </si>
  <si>
    <t>Gazebo</t>
  </si>
  <si>
    <t>On-site laundry</t>
  </si>
  <si>
    <t>Covered pavillion with picnic and bbq facilities</t>
  </si>
  <si>
    <t>Equipped computer center</t>
  </si>
  <si>
    <t>furnished exercise/fitness center</t>
  </si>
  <si>
    <t>Required amenties are available to the residents at no additional charge.</t>
  </si>
  <si>
    <t>Substantial Gut Rehab</t>
  </si>
  <si>
    <t>Steve Hamby - Newbanks, Inc.</t>
  </si>
  <si>
    <t>The 20-year replacement reserve study is included in the PNA at Section VII. Capital Expenditure Chart (p. 30).  The Schedule of Values and Work Scope Form, Along with the PNA, are located at Binder Tab 15 RehabStds and Electronic Folder 15RehabStds.</t>
  </si>
  <si>
    <t>The Conceptual Site Development Plan is located at Binder Tab 16 SiteInfoDevPlan and Electronic Folder 16SiteInfoDevPlan.</t>
  </si>
  <si>
    <t>A copy of the architectural standards waiver is located at Binder Tab 17 Design Standards and Electornic Folder 17DesignStds.</t>
  </si>
  <si>
    <t>A copy of the architectural standards waiver is located at Binder Tab 17 Design Standards and Electornic Folder 17DesignStds.  The buildings currently meet the requirement of 40% Brick or stone on each of the total wall surfaces.</t>
  </si>
  <si>
    <t>The performance workbook and confirmation of Qualified with Conditions from DCA is located at Binder Tab 18 and Electronic Folder 18 QualDet.</t>
  </si>
  <si>
    <t>Compliance History Inforation has been provided in Section 21 for the GP and the Management Company.</t>
  </si>
  <si>
    <t>Minority concentration</t>
  </si>
  <si>
    <t>124.00, 125.00, 134.10, 132.02, 136.05, 136.06, 138.03, 1126.00</t>
  </si>
  <si>
    <t>The required legal opinion is located at Binder Tab 22 Legal Opinions and Electronic Folder 22LglOpns.</t>
  </si>
  <si>
    <t>There are currently no over income, rent burdened, or tenants that will be discplaced.  The relocation documentation is located under Binder Tab 23 and Electronic Folder 23Reloc.</t>
  </si>
  <si>
    <t>The Affirmative Fair Housing Marketing Plan is located at Binder Tab 21 and Electronic Folder 21AddHudReq.</t>
  </si>
  <si>
    <t xml:space="preserve">The project is designated at HUD High Priority and will request a 20 Year HAP renewal.    </t>
  </si>
  <si>
    <t>The Benoit Group, LLC has claimed the maximum number of points for desirable activities and/or characteristics loacted within a 2.0 walking/driving distance from the property.  The desirable/undesirable form along with the required maps are located at Binder Tab 24 Desirable/Undesirable adn Electronic Folder 25DesirUndes.</t>
  </si>
  <si>
    <t>There is a pulblic transportation stop (MTA) located at the entrance to Macon Gardens.  The map, fixed route, daily schedule, rates, and notice of routes are loacted at Binder Tab 25 Transportation and Electronic Folder 25Trans.</t>
  </si>
  <si>
    <t>Earth Craft House Multifamily</t>
  </si>
  <si>
    <t>The Benoit Group, LLC is seeking certification for EarthCraft Multifamily and will meet the requirements for Building Sustainibility.  A draft scoring sheet for EarthCraft Multifamily and Edrick Harris's [VP of Development for The Benoit Group, LLC] participation in the required 2014 DCA Sustainible Building Course Certificate through Southface are located at Binder Tab 27 and Electronic Tab 27SustDevs.</t>
  </si>
  <si>
    <t>N/A - Not in a QCT.</t>
  </si>
  <si>
    <t>As per the Market Feasibility Ananlysis performed by Real Property Research Group, based on household growth, low affordability and demand capture rates, and stable rental market conditions, sufficient demand exists to support the proposed renovation of teh units at Macon Gardens.  The Market Study can be found at Tab 05 under Market Study and Electronic Tab.</t>
  </si>
  <si>
    <t>The Benoit Group, LLC agrees to remain rent restricted and income restricted for the Compliance Period and for 15 years after the close of the Compliance Period.</t>
  </si>
  <si>
    <t>Disagree</t>
  </si>
  <si>
    <t>Macon Gardens has been designated by HUD as High Priority.  The Letter is located at Binder Tab 01 Feasibility and Electronic Folder 01 Feasibility.</t>
  </si>
  <si>
    <t>DCA's Pre-Determination Letter dated May 1, 2014 denoting "Qualified with Conditions" is located at Binder Tab 18 Qualification Determination and Electronic Folder 18QualDetCompl.</t>
  </si>
  <si>
    <t>132.01</t>
  </si>
  <si>
    <t>Structure:  The site is a combination of 1 and 2 story multifamily units. Utility Allowances arebased on the existing HUD Rental Schedule for Macon Gardens.</t>
  </si>
  <si>
    <t>The site currently has a HAP PBRA contract from HUD that will be renewed for the development.  The project has been designated as a high priority project.</t>
  </si>
  <si>
    <t>The Environmental Study is located at Binder Tab 07 and Electronic Folder 07Environmental at 0702012014-0xxMcnGdnsESAPh1.  The floodplain percentage of the site is estimated.  Per the Phase I, the improved areas are outside the flood zone.</t>
  </si>
  <si>
    <t>Contract/Option</t>
  </si>
  <si>
    <t>Previous project is 2 miles away.</t>
  </si>
  <si>
    <t>2014-051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</si>
</sst>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8"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1">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55" workbookViewId="0">
      <selection activeCell="A155"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Macon Gardens,  Macon,  Bibb County</v>
      </c>
      <c r="B1" s="1803"/>
      <c r="C1" s="1803"/>
      <c r="D1" s="1803"/>
      <c r="E1" s="1803"/>
      <c r="F1" s="1803"/>
      <c r="G1" s="1803"/>
      <c r="H1" s="1803"/>
      <c r="I1" s="1803"/>
      <c r="J1" s="1803"/>
      <c r="K1" s="1803"/>
      <c r="L1" s="1804"/>
    </row>
    <row r="2" spans="1:12" ht="26.25" customHeight="1">
      <c r="A2" s="1806" t="s">
        <v>3162</v>
      </c>
      <c r="B2" s="1806"/>
      <c r="C2" s="1806"/>
      <c r="D2" s="1806"/>
      <c r="E2" s="1806"/>
      <c r="F2" s="1806"/>
      <c r="G2" s="1806"/>
      <c r="H2" s="1806"/>
      <c r="I2" s="1806"/>
      <c r="J2" s="1806"/>
      <c r="K2" s="1806"/>
      <c r="L2" s="1806"/>
    </row>
    <row r="3" spans="1:12" s="1813" customFormat="1" ht="12" customHeight="1">
      <c r="A3" s="1808" t="s">
        <v>3025</v>
      </c>
      <c r="B3" s="1809"/>
      <c r="C3" s="1809"/>
      <c r="D3" s="1809"/>
      <c r="E3" s="1810" t="s">
        <v>3026</v>
      </c>
      <c r="F3" s="1811"/>
      <c r="G3" s="1811"/>
      <c r="H3" s="1811"/>
      <c r="I3" s="1812"/>
      <c r="J3" s="1811"/>
      <c r="K3" s="1811"/>
      <c r="L3" s="1810" t="s">
        <v>3027</v>
      </c>
    </row>
    <row r="4" spans="1:12" s="1813" customFormat="1" ht="12.75" thickBot="1">
      <c r="A4" s="1814"/>
      <c r="B4" s="1815" t="s">
        <v>3028</v>
      </c>
      <c r="C4" s="1815"/>
      <c r="D4" s="1815"/>
      <c r="E4" s="1816"/>
      <c r="F4" s="1815" t="s">
        <v>3180</v>
      </c>
      <c r="G4" s="1817"/>
      <c r="H4" s="1817"/>
      <c r="I4" s="1815" t="s">
        <v>3029</v>
      </c>
      <c r="J4" s="1817"/>
      <c r="K4" s="1817"/>
      <c r="L4" s="1816"/>
    </row>
    <row r="5" spans="1:12" s="1821" customFormat="1" ht="11.25" customHeight="1">
      <c r="A5" s="1818"/>
      <c r="B5" s="1819"/>
      <c r="C5" s="1819"/>
      <c r="D5" s="1819"/>
      <c r="E5" s="1820"/>
      <c r="F5" s="1821" t="s">
        <v>3030</v>
      </c>
      <c r="I5" s="1822"/>
      <c r="L5" s="1823" t="s">
        <v>3705</v>
      </c>
    </row>
    <row r="6" spans="1:12" s="1821" customFormat="1" ht="11.25" customHeight="1">
      <c r="A6" s="1824" t="s">
        <v>3031</v>
      </c>
      <c r="B6" s="1819" t="s">
        <v>1518</v>
      </c>
      <c r="C6" s="1819"/>
      <c r="D6" s="1819"/>
      <c r="E6" s="1825" t="s">
        <v>3031</v>
      </c>
      <c r="F6" s="1821" t="s">
        <v>3159</v>
      </c>
      <c r="I6" s="1822"/>
      <c r="L6" s="1826" t="s">
        <v>3705</v>
      </c>
    </row>
    <row r="7" spans="1:12" s="1821" customFormat="1" ht="11.25" customHeight="1">
      <c r="A7" s="1818"/>
      <c r="B7" s="1819"/>
      <c r="C7" s="1819"/>
      <c r="D7" s="1819"/>
      <c r="E7" s="1827" t="s">
        <v>2938</v>
      </c>
      <c r="F7" s="1821" t="s">
        <v>3032</v>
      </c>
      <c r="I7" s="1822"/>
      <c r="L7" s="1826" t="s">
        <v>3705</v>
      </c>
    </row>
    <row r="8" spans="1:12" s="1821" customFormat="1" ht="11.25" customHeight="1">
      <c r="A8" s="1818"/>
      <c r="B8" s="1819"/>
      <c r="C8" s="1819"/>
      <c r="D8" s="1819"/>
      <c r="E8" s="1827" t="s">
        <v>2936</v>
      </c>
      <c r="F8" s="1821" t="s">
        <v>453</v>
      </c>
      <c r="I8" s="1822"/>
      <c r="L8" s="1826" t="s">
        <v>3702</v>
      </c>
    </row>
    <row r="9" spans="1:12" s="1821" customFormat="1" ht="11.25" customHeight="1">
      <c r="A9" s="1818"/>
      <c r="B9" s="1819"/>
      <c r="C9" s="1819"/>
      <c r="D9" s="1819"/>
      <c r="E9" s="1827" t="s">
        <v>2937</v>
      </c>
      <c r="F9" s="1821" t="s">
        <v>2913</v>
      </c>
      <c r="I9" s="1822"/>
      <c r="L9" s="1826" t="s">
        <v>3705</v>
      </c>
    </row>
    <row r="10" spans="1:12" s="1821" customFormat="1" ht="11.25" customHeight="1">
      <c r="A10" s="1818"/>
      <c r="B10" s="1819"/>
      <c r="C10" s="1819"/>
      <c r="D10" s="1819"/>
      <c r="E10" s="1827" t="s">
        <v>2939</v>
      </c>
      <c r="F10" s="1821" t="s">
        <v>2926</v>
      </c>
      <c r="I10" s="1822"/>
      <c r="J10" s="1828"/>
      <c r="L10" s="1826" t="s">
        <v>3705</v>
      </c>
    </row>
    <row r="11" spans="1:12" s="1821" customFormat="1" ht="11.25" customHeight="1">
      <c r="A11" s="1818"/>
      <c r="B11" s="1819"/>
      <c r="C11" s="1819"/>
      <c r="D11" s="1819"/>
      <c r="E11" s="1827" t="s">
        <v>2940</v>
      </c>
      <c r="F11" s="1821" t="s">
        <v>3033</v>
      </c>
      <c r="I11" s="1822"/>
      <c r="J11" s="1828"/>
      <c r="L11" s="1829" t="s">
        <v>3702</v>
      </c>
    </row>
    <row r="12" spans="1:12" s="1821" customFormat="1" ht="11.25" customHeight="1">
      <c r="A12" s="1818"/>
      <c r="B12" s="1819"/>
      <c r="C12" s="1819"/>
      <c r="D12" s="1819"/>
      <c r="E12" s="1830" t="s">
        <v>2941</v>
      </c>
      <c r="F12" s="1821" t="s">
        <v>3160</v>
      </c>
      <c r="I12" s="1822"/>
      <c r="J12" s="1828"/>
      <c r="L12" s="1829" t="s">
        <v>3702</v>
      </c>
    </row>
    <row r="13" spans="1:12" s="1821" customFormat="1" ht="11.25" customHeight="1">
      <c r="A13" s="1831" t="s">
        <v>3034</v>
      </c>
      <c r="B13" s="1831"/>
      <c r="C13" s="1831"/>
      <c r="D13" s="1831"/>
      <c r="E13" s="1831"/>
      <c r="F13" s="1831"/>
      <c r="G13" s="1831"/>
      <c r="H13" s="1831"/>
      <c r="I13" s="1831"/>
      <c r="J13" s="1831"/>
      <c r="K13" s="1831"/>
      <c r="L13" s="1831"/>
    </row>
    <row r="14" spans="1:12" s="1821" customFormat="1" ht="11.25" customHeight="1">
      <c r="A14" s="1832" t="s">
        <v>2938</v>
      </c>
      <c r="B14" s="1833" t="s">
        <v>3189</v>
      </c>
      <c r="C14" s="1833"/>
      <c r="D14" s="1834" t="s">
        <v>3190</v>
      </c>
      <c r="E14" s="1825" t="s">
        <v>2938</v>
      </c>
      <c r="F14" s="1835" t="s">
        <v>3035</v>
      </c>
      <c r="G14" s="1835"/>
      <c r="H14" s="1835"/>
      <c r="I14" s="1822"/>
      <c r="J14" s="1828"/>
      <c r="L14" s="1826" t="s">
        <v>3705</v>
      </c>
    </row>
    <row r="15" spans="1:12" s="1821" customFormat="1" ht="11.25" customHeight="1">
      <c r="A15" s="1818"/>
      <c r="C15" s="1836"/>
      <c r="D15" s="1819" t="s">
        <v>3036</v>
      </c>
      <c r="E15" s="1827" t="s">
        <v>2936</v>
      </c>
      <c r="F15" s="1837" t="s">
        <v>3037</v>
      </c>
      <c r="G15" s="1837"/>
      <c r="H15" s="1837"/>
      <c r="I15" s="1838" t="s">
        <v>3132</v>
      </c>
      <c r="J15" s="1839" t="s">
        <v>3133</v>
      </c>
      <c r="K15" s="1839" t="s">
        <v>3134</v>
      </c>
      <c r="L15" s="1826" t="s">
        <v>3705</v>
      </c>
    </row>
    <row r="16" spans="1:12" s="1821" customFormat="1" ht="11.25" customHeight="1">
      <c r="A16" s="1818"/>
      <c r="C16" s="1836"/>
      <c r="D16" s="1819"/>
      <c r="E16" s="1827"/>
      <c r="F16" s="1837"/>
      <c r="G16" s="1837"/>
      <c r="H16" s="1837"/>
      <c r="I16" s="1838" t="s">
        <v>3040</v>
      </c>
      <c r="J16" s="1839" t="s">
        <v>2122</v>
      </c>
      <c r="K16" s="1839" t="s">
        <v>3135</v>
      </c>
    </row>
    <row r="17" spans="1:12" s="1821" customFormat="1" ht="11.25" customHeight="1">
      <c r="A17" s="1818"/>
      <c r="C17" s="1836"/>
      <c r="D17" s="1819" t="s">
        <v>3038</v>
      </c>
      <c r="E17" s="1827" t="s">
        <v>2937</v>
      </c>
      <c r="F17" s="1828" t="s">
        <v>3166</v>
      </c>
      <c r="G17" s="1840"/>
      <c r="H17" s="1840"/>
      <c r="I17" s="1838"/>
      <c r="J17" s="1839"/>
      <c r="K17" s="1841"/>
      <c r="L17" s="1826" t="s">
        <v>3705</v>
      </c>
    </row>
    <row r="18" spans="1:12" s="1821" customFormat="1" ht="11.25" customHeight="1">
      <c r="A18" s="1818"/>
      <c r="C18" s="1836"/>
      <c r="D18" s="1819"/>
      <c r="E18" s="1842"/>
      <c r="F18" s="1821" t="s">
        <v>3167</v>
      </c>
      <c r="I18" s="1843"/>
      <c r="J18" s="1844"/>
      <c r="K18" s="1841"/>
      <c r="L18" s="1826" t="s">
        <v>3705</v>
      </c>
    </row>
    <row r="19" spans="1:12" s="1821" customFormat="1" ht="11.25" customHeight="1">
      <c r="A19" s="1818"/>
      <c r="C19" s="1836"/>
      <c r="D19" s="1819" t="s">
        <v>3039</v>
      </c>
      <c r="E19" s="1827" t="s">
        <v>2939</v>
      </c>
      <c r="F19" s="1821" t="s">
        <v>3168</v>
      </c>
      <c r="I19" s="1838" t="s">
        <v>3609</v>
      </c>
      <c r="J19" s="1839" t="s">
        <v>3045</v>
      </c>
      <c r="K19" s="1839" t="s">
        <v>3046</v>
      </c>
      <c r="L19" s="1826" t="s">
        <v>3705</v>
      </c>
    </row>
    <row r="20" spans="1:12" s="1821" customFormat="1" ht="11.25" customHeight="1">
      <c r="A20" s="1818"/>
      <c r="C20" s="1836"/>
      <c r="D20" s="1819"/>
      <c r="E20" s="1842"/>
      <c r="F20" s="1821" t="s">
        <v>3169</v>
      </c>
      <c r="L20" s="1826" t="s">
        <v>3702</v>
      </c>
    </row>
    <row r="21" spans="1:12" s="1821" customFormat="1" ht="11.25" customHeight="1">
      <c r="A21" s="1818"/>
      <c r="C21" s="1836"/>
      <c r="D21" s="1819"/>
      <c r="E21" s="1842"/>
      <c r="F21" s="1821" t="s">
        <v>3170</v>
      </c>
      <c r="I21" s="1822"/>
      <c r="J21" s="1828"/>
      <c r="L21" s="1826" t="s">
        <v>3702</v>
      </c>
    </row>
    <row r="22" spans="1:12" s="1821" customFormat="1" ht="11.25" customHeight="1">
      <c r="A22" s="1818"/>
      <c r="C22" s="1836"/>
      <c r="D22" s="1819"/>
      <c r="E22" s="1842"/>
      <c r="F22" s="1821" t="s">
        <v>3171</v>
      </c>
      <c r="I22" s="1822"/>
      <c r="J22" s="1828"/>
      <c r="L22" s="1826" t="s">
        <v>3702</v>
      </c>
    </row>
    <row r="23" spans="1:12" s="1821" customFormat="1" ht="11.25" customHeight="1">
      <c r="A23" s="1818"/>
      <c r="C23" s="1836"/>
      <c r="D23" s="1819"/>
      <c r="E23" s="1842"/>
      <c r="F23" s="1821" t="s">
        <v>3607</v>
      </c>
      <c r="I23" s="1822"/>
      <c r="J23" s="1828"/>
      <c r="L23" s="1826" t="s">
        <v>3702</v>
      </c>
    </row>
    <row r="24" spans="1:12" s="1821" customFormat="1" ht="11.25" customHeight="1">
      <c r="A24" s="1818"/>
      <c r="C24" s="1836"/>
      <c r="D24" s="1819" t="s">
        <v>3041</v>
      </c>
      <c r="E24" s="1827" t="s">
        <v>2940</v>
      </c>
      <c r="F24" s="1821" t="s">
        <v>3172</v>
      </c>
      <c r="I24" s="1822"/>
      <c r="J24" s="1828"/>
      <c r="L24" s="1826" t="s">
        <v>3702</v>
      </c>
    </row>
    <row r="25" spans="1:12" s="1821" customFormat="1" ht="11.25" customHeight="1">
      <c r="A25" s="1818"/>
      <c r="B25" s="1845"/>
      <c r="C25" s="1845"/>
      <c r="D25" s="1845"/>
      <c r="E25" s="1842"/>
      <c r="F25" s="1821" t="s">
        <v>3411</v>
      </c>
      <c r="I25" s="1822"/>
      <c r="J25" s="1828"/>
      <c r="L25" s="1826" t="s">
        <v>3702</v>
      </c>
    </row>
    <row r="26" spans="1:12" s="1821" customFormat="1" ht="11.25" customHeight="1">
      <c r="A26" s="1818"/>
      <c r="B26" s="1845"/>
      <c r="C26" s="1845"/>
      <c r="D26" s="1845"/>
      <c r="E26" s="1842"/>
      <c r="F26" s="1821" t="s">
        <v>3412</v>
      </c>
      <c r="I26" s="1822"/>
      <c r="J26" s="1828"/>
      <c r="L26" s="1826" t="s">
        <v>3702</v>
      </c>
    </row>
    <row r="27" spans="1:12" s="1821" customFormat="1" ht="11.25" customHeight="1">
      <c r="A27" s="1818"/>
      <c r="B27" s="1845"/>
      <c r="C27" s="1845"/>
      <c r="D27" s="1845"/>
      <c r="E27" s="1842"/>
      <c r="F27" s="1821" t="s">
        <v>3413</v>
      </c>
      <c r="I27" s="1822"/>
      <c r="J27" s="1828"/>
      <c r="L27" s="1826" t="s">
        <v>3702</v>
      </c>
    </row>
    <row r="28" spans="1:12" s="1821" customFormat="1" ht="11.25" customHeight="1">
      <c r="A28" s="1818"/>
      <c r="B28" s="1845"/>
      <c r="C28" s="1845"/>
      <c r="D28" s="1845"/>
      <c r="E28" s="1827" t="s">
        <v>2941</v>
      </c>
      <c r="F28" s="1821" t="s">
        <v>3042</v>
      </c>
      <c r="I28" s="1822"/>
      <c r="J28" s="1828"/>
      <c r="L28" s="1826" t="s">
        <v>3705</v>
      </c>
    </row>
    <row r="29" spans="1:12" s="1821" customFormat="1" ht="11.25" customHeight="1">
      <c r="A29" s="1818"/>
      <c r="B29" s="1845"/>
      <c r="C29" s="1845"/>
      <c r="D29" s="1845"/>
      <c r="E29" s="1827" t="s">
        <v>2942</v>
      </c>
      <c r="F29" s="1821" t="s">
        <v>3043</v>
      </c>
      <c r="I29" s="1822"/>
      <c r="J29" s="1828"/>
      <c r="L29" s="1826" t="s">
        <v>3705</v>
      </c>
    </row>
    <row r="30" spans="1:12" s="1821" customFormat="1" ht="11.25" customHeight="1">
      <c r="A30" s="1832" t="s">
        <v>2936</v>
      </c>
      <c r="B30" s="1834" t="s">
        <v>3044</v>
      </c>
      <c r="C30" s="1834"/>
      <c r="D30" s="1834"/>
      <c r="E30" s="1825" t="s">
        <v>2938</v>
      </c>
      <c r="F30" s="1846" t="s">
        <v>3047</v>
      </c>
      <c r="G30" s="1846"/>
      <c r="H30" s="1846"/>
      <c r="I30" s="1847" t="s">
        <v>3609</v>
      </c>
      <c r="J30" s="1848" t="s">
        <v>3045</v>
      </c>
      <c r="K30" s="1849" t="s">
        <v>3046</v>
      </c>
      <c r="L30" s="1826" t="s">
        <v>3702</v>
      </c>
    </row>
    <row r="31" spans="1:12" s="1821" customFormat="1" ht="11.25" customHeight="1">
      <c r="A31" s="1832" t="s">
        <v>2937</v>
      </c>
      <c r="B31" s="1834" t="s">
        <v>3191</v>
      </c>
      <c r="C31" s="1834"/>
      <c r="D31" s="1834" t="s">
        <v>3078</v>
      </c>
      <c r="E31" s="1825" t="s">
        <v>2938</v>
      </c>
      <c r="F31" s="1835" t="s">
        <v>3048</v>
      </c>
      <c r="G31" s="1835"/>
      <c r="H31" s="1835"/>
      <c r="I31" s="1847"/>
      <c r="J31" s="1848"/>
      <c r="K31" s="1849"/>
      <c r="L31" s="1826" t="s">
        <v>3702</v>
      </c>
    </row>
    <row r="32" spans="1:12" s="1821" customFormat="1" ht="11.25" customHeight="1">
      <c r="A32" s="1832" t="s">
        <v>2939</v>
      </c>
      <c r="B32" s="1834" t="s">
        <v>3192</v>
      </c>
      <c r="C32" s="1834"/>
      <c r="D32" s="1834" t="s">
        <v>3075</v>
      </c>
      <c r="E32" s="1825" t="s">
        <v>2938</v>
      </c>
      <c r="F32" s="1835" t="s">
        <v>3049</v>
      </c>
      <c r="G32" s="1835"/>
      <c r="H32" s="1835"/>
      <c r="I32" s="1847"/>
      <c r="J32" s="1848"/>
      <c r="K32" s="1849"/>
      <c r="L32" s="1826" t="s">
        <v>3702</v>
      </c>
    </row>
    <row r="33" spans="1:12" s="1821" customFormat="1" ht="11.25" customHeight="1">
      <c r="A33" s="1818"/>
      <c r="B33" s="1836"/>
      <c r="C33" s="1836"/>
      <c r="D33" s="1819" t="s">
        <v>3050</v>
      </c>
      <c r="E33" s="1827" t="s">
        <v>2936</v>
      </c>
      <c r="F33" s="1841" t="s">
        <v>3051</v>
      </c>
      <c r="I33" s="1822"/>
      <c r="J33" s="1828"/>
      <c r="L33" s="1826" t="s">
        <v>3702</v>
      </c>
    </row>
    <row r="34" spans="1:12" s="1821" customFormat="1" ht="11.25" customHeight="1">
      <c r="A34" s="1832" t="s">
        <v>2940</v>
      </c>
      <c r="B34" s="1834" t="s">
        <v>3052</v>
      </c>
      <c r="C34" s="1834"/>
      <c r="D34" s="1834"/>
      <c r="E34" s="1825" t="s">
        <v>2938</v>
      </c>
      <c r="F34" s="1835" t="s">
        <v>482</v>
      </c>
      <c r="G34" s="1835"/>
      <c r="H34" s="1835"/>
      <c r="I34" s="1847" t="s">
        <v>382</v>
      </c>
      <c r="J34" s="1848"/>
      <c r="K34" s="1849" t="s">
        <v>3053</v>
      </c>
      <c r="L34" s="1826" t="s">
        <v>3705</v>
      </c>
    </row>
    <row r="35" spans="1:12" s="1821" customFormat="1" ht="11.25" customHeight="1">
      <c r="A35" s="1832" t="s">
        <v>2941</v>
      </c>
      <c r="B35" s="1834" t="s">
        <v>3193</v>
      </c>
      <c r="C35" s="1834"/>
      <c r="D35" s="1834" t="s">
        <v>3050</v>
      </c>
      <c r="E35" s="1825" t="s">
        <v>2938</v>
      </c>
      <c r="F35" s="1835" t="s">
        <v>3054</v>
      </c>
      <c r="G35" s="1835"/>
      <c r="H35" s="1835"/>
      <c r="I35" s="1847"/>
      <c r="J35" s="1848"/>
      <c r="K35" s="1849"/>
      <c r="L35" s="1826" t="s">
        <v>3705</v>
      </c>
    </row>
    <row r="36" spans="1:12" s="1821" customFormat="1" ht="11.25" customHeight="1">
      <c r="A36" s="1832" t="s">
        <v>2942</v>
      </c>
      <c r="B36" s="1834" t="s">
        <v>3194</v>
      </c>
      <c r="C36" s="1834"/>
      <c r="D36" s="1834" t="s">
        <v>3195</v>
      </c>
      <c r="E36" s="1825" t="s">
        <v>2938</v>
      </c>
      <c r="F36" s="1835" t="s">
        <v>3055</v>
      </c>
      <c r="G36" s="1835"/>
      <c r="H36" s="1835"/>
      <c r="I36" s="1847"/>
      <c r="J36" s="1848"/>
      <c r="K36" s="1849"/>
      <c r="L36" s="1826" t="s">
        <v>3705</v>
      </c>
    </row>
    <row r="37" spans="1:12" s="1821" customFormat="1" ht="11.25" customHeight="1">
      <c r="B37" s="1850" t="s">
        <v>3196</v>
      </c>
      <c r="C37" s="1850"/>
      <c r="D37" s="1851"/>
      <c r="E37" s="1827" t="s">
        <v>2936</v>
      </c>
      <c r="F37" s="1821" t="s">
        <v>3056</v>
      </c>
      <c r="I37" s="1822"/>
      <c r="J37" s="1828"/>
      <c r="L37" s="1826" t="s">
        <v>3705</v>
      </c>
    </row>
    <row r="38" spans="1:12" s="1821" customFormat="1" ht="11.25" customHeight="1">
      <c r="B38" s="1850"/>
      <c r="C38" s="1850"/>
      <c r="D38" s="1851"/>
      <c r="E38" s="1827" t="s">
        <v>2937</v>
      </c>
      <c r="F38" s="1821" t="s">
        <v>3057</v>
      </c>
      <c r="I38" s="1822"/>
      <c r="J38" s="1828"/>
      <c r="L38" s="1826" t="s">
        <v>3702</v>
      </c>
    </row>
    <row r="39" spans="1:12" s="1821" customFormat="1" ht="11.25" customHeight="1">
      <c r="B39" s="1850"/>
      <c r="C39" s="1850"/>
      <c r="D39" s="1818"/>
      <c r="E39" s="1852" t="s">
        <v>2939</v>
      </c>
      <c r="F39" s="1853" t="s">
        <v>3161</v>
      </c>
      <c r="G39" s="1853"/>
      <c r="H39" s="1853"/>
      <c r="I39" s="1853"/>
      <c r="J39" s="1853"/>
      <c r="K39" s="1854"/>
      <c r="L39" s="1826" t="s">
        <v>3702</v>
      </c>
    </row>
    <row r="40" spans="1:12" s="1821" customFormat="1" ht="11.25" customHeight="1">
      <c r="A40" s="1832" t="s">
        <v>3143</v>
      </c>
      <c r="B40" s="1855" t="s">
        <v>3058</v>
      </c>
      <c r="C40" s="1855"/>
      <c r="D40" s="1855"/>
      <c r="E40" s="1825" t="s">
        <v>2938</v>
      </c>
      <c r="F40" s="1856" t="s">
        <v>3608</v>
      </c>
      <c r="G40" s="1856"/>
      <c r="H40" s="1856"/>
      <c r="I40" s="1847"/>
      <c r="J40" s="1848"/>
      <c r="K40" s="1849"/>
      <c r="L40" s="1826" t="s">
        <v>3705</v>
      </c>
    </row>
    <row r="41" spans="1:12" s="1821" customFormat="1" ht="11.25" customHeight="1">
      <c r="A41" s="1818"/>
      <c r="B41" s="1819"/>
      <c r="C41" s="1819"/>
      <c r="D41" s="1819"/>
      <c r="E41" s="1827" t="s">
        <v>2936</v>
      </c>
      <c r="F41" s="1821" t="s">
        <v>3627</v>
      </c>
      <c r="I41" s="1838" t="s">
        <v>3609</v>
      </c>
      <c r="J41" s="1839" t="s">
        <v>3610</v>
      </c>
      <c r="K41" s="1839" t="s">
        <v>3046</v>
      </c>
      <c r="L41" s="1826" t="s">
        <v>3702</v>
      </c>
    </row>
    <row r="42" spans="1:12" s="1821" customFormat="1" ht="11.25" customHeight="1">
      <c r="A42" s="1818"/>
      <c r="B42" s="1819"/>
      <c r="C42" s="1819"/>
      <c r="D42" s="1819"/>
      <c r="E42" s="1827" t="s">
        <v>2937</v>
      </c>
      <c r="F42" s="1821" t="s">
        <v>3414</v>
      </c>
      <c r="I42" s="1822"/>
      <c r="J42" s="1828"/>
      <c r="L42" s="1826" t="s">
        <v>3705</v>
      </c>
    </row>
    <row r="43" spans="1:12" s="1821" customFormat="1" ht="11.25" customHeight="1">
      <c r="A43" s="1857"/>
      <c r="B43" s="1858"/>
      <c r="C43" s="1858"/>
      <c r="D43" s="1858"/>
      <c r="E43" s="1852" t="s">
        <v>2939</v>
      </c>
      <c r="F43" s="1859" t="s">
        <v>3059</v>
      </c>
      <c r="G43" s="1859"/>
      <c r="H43" s="1859"/>
      <c r="I43" s="1822"/>
      <c r="J43" s="1828"/>
      <c r="L43" s="1826" t="s">
        <v>3702</v>
      </c>
    </row>
    <row r="44" spans="1:12" s="1821" customFormat="1" ht="11.25" customHeight="1">
      <c r="A44" s="1860" t="s">
        <v>3144</v>
      </c>
      <c r="B44" s="1861" t="s">
        <v>3060</v>
      </c>
      <c r="C44" s="1861"/>
      <c r="D44" s="1861"/>
      <c r="E44" s="1827" t="s">
        <v>2938</v>
      </c>
      <c r="F44" s="1862" t="s">
        <v>3061</v>
      </c>
      <c r="G44" s="1862"/>
      <c r="H44" s="1862"/>
      <c r="I44" s="1847"/>
      <c r="J44" s="1848"/>
      <c r="K44" s="1849"/>
      <c r="L44" s="1826" t="s">
        <v>3705</v>
      </c>
    </row>
    <row r="45" spans="1:12" s="1821" customFormat="1" ht="11.25" customHeight="1">
      <c r="A45" s="1860"/>
      <c r="B45" s="1861"/>
      <c r="C45" s="1861"/>
      <c r="D45" s="1861"/>
      <c r="E45" s="1827" t="s">
        <v>2936</v>
      </c>
      <c r="F45" s="1862" t="s">
        <v>3415</v>
      </c>
      <c r="G45" s="1862"/>
      <c r="H45" s="1862"/>
      <c r="I45" s="1863"/>
      <c r="J45" s="1864"/>
      <c r="K45" s="1865"/>
      <c r="L45" s="1826" t="s">
        <v>3702</v>
      </c>
    </row>
    <row r="46" spans="1:12" s="1821" customFormat="1" ht="11.25" customHeight="1">
      <c r="A46" s="1866"/>
      <c r="B46" s="1858"/>
      <c r="C46" s="1858"/>
      <c r="D46" s="1858"/>
      <c r="E46" s="1827" t="s">
        <v>2937</v>
      </c>
      <c r="F46" s="1859" t="s">
        <v>3416</v>
      </c>
      <c r="G46" s="1859"/>
      <c r="H46" s="1859"/>
      <c r="I46" s="1867"/>
      <c r="J46" s="1868"/>
      <c r="K46" s="1869"/>
      <c r="L46" s="1826" t="s">
        <v>3702</v>
      </c>
    </row>
    <row r="47" spans="1:12" s="1821" customFormat="1" ht="11.25" customHeight="1">
      <c r="A47" s="1833">
        <v>10</v>
      </c>
      <c r="B47" s="1834" t="s">
        <v>3062</v>
      </c>
      <c r="C47" s="1834"/>
      <c r="D47" s="1834"/>
      <c r="E47" s="1825" t="s">
        <v>2938</v>
      </c>
      <c r="F47" s="1835" t="s">
        <v>3628</v>
      </c>
      <c r="G47" s="1835"/>
      <c r="H47" s="1835"/>
      <c r="I47" s="1847"/>
      <c r="J47" s="1848"/>
      <c r="K47" s="1849"/>
      <c r="L47" s="1826" t="s">
        <v>3705</v>
      </c>
    </row>
    <row r="48" spans="1:12" s="1821" customFormat="1" ht="11.25" customHeight="1">
      <c r="A48" s="1818"/>
      <c r="B48" s="1819"/>
      <c r="C48" s="1819"/>
      <c r="D48" s="1819"/>
      <c r="E48" s="1827" t="s">
        <v>2936</v>
      </c>
      <c r="F48" s="1821" t="s">
        <v>3417</v>
      </c>
      <c r="I48" s="1822"/>
      <c r="J48" s="1828"/>
      <c r="L48" s="1826" t="s">
        <v>3705</v>
      </c>
    </row>
    <row r="49" spans="1:12" s="1821" customFormat="1" ht="11.25" customHeight="1">
      <c r="A49" s="1818"/>
      <c r="B49" s="1819"/>
      <c r="C49" s="1819"/>
      <c r="D49" s="1819"/>
      <c r="E49" s="1827" t="s">
        <v>2937</v>
      </c>
      <c r="F49" s="1821" t="s">
        <v>3418</v>
      </c>
      <c r="I49" s="1822"/>
      <c r="J49" s="1828"/>
      <c r="L49" s="1826" t="s">
        <v>3702</v>
      </c>
    </row>
    <row r="50" spans="1:12" s="1821" customFormat="1" ht="11.25" customHeight="1">
      <c r="A50" s="1818"/>
      <c r="B50" s="1819"/>
      <c r="C50" s="1819"/>
      <c r="D50" s="1819"/>
      <c r="E50" s="1827" t="s">
        <v>2939</v>
      </c>
      <c r="F50" s="1821" t="s">
        <v>3063</v>
      </c>
      <c r="I50" s="1822"/>
      <c r="J50" s="1828"/>
      <c r="L50" s="1826" t="s">
        <v>3702</v>
      </c>
    </row>
    <row r="51" spans="1:12" s="1821" customFormat="1" ht="11.25" customHeight="1">
      <c r="A51" s="1833">
        <v>11</v>
      </c>
      <c r="B51" s="1834" t="s">
        <v>3064</v>
      </c>
      <c r="C51" s="1834"/>
      <c r="D51" s="1834"/>
      <c r="E51" s="1825" t="s">
        <v>2938</v>
      </c>
      <c r="F51" s="1835" t="s">
        <v>3065</v>
      </c>
      <c r="G51" s="1835"/>
      <c r="H51" s="1835"/>
      <c r="I51" s="1847"/>
      <c r="J51" s="1848"/>
      <c r="K51" s="1849"/>
      <c r="L51" s="1826" t="s">
        <v>3705</v>
      </c>
    </row>
    <row r="52" spans="1:12" s="1821" customFormat="1" ht="11.25" customHeight="1">
      <c r="A52" s="1833">
        <v>12</v>
      </c>
      <c r="B52" s="1834" t="s">
        <v>3066</v>
      </c>
      <c r="C52" s="1834"/>
      <c r="D52" s="1834"/>
      <c r="E52" s="1825" t="s">
        <v>2938</v>
      </c>
      <c r="F52" s="1835" t="s">
        <v>3067</v>
      </c>
      <c r="G52" s="1835"/>
      <c r="H52" s="1835"/>
      <c r="I52" s="1847"/>
      <c r="J52" s="1848"/>
      <c r="K52" s="1849"/>
      <c r="L52" s="1826" t="s">
        <v>3705</v>
      </c>
    </row>
    <row r="53" spans="1:12" s="1821" customFormat="1" ht="11.25" customHeight="1">
      <c r="A53" s="1818"/>
      <c r="B53" s="1819"/>
      <c r="C53" s="1819"/>
      <c r="D53" s="1819"/>
      <c r="E53" s="1827" t="s">
        <v>2936</v>
      </c>
      <c r="F53" s="1821" t="s">
        <v>3068</v>
      </c>
      <c r="I53" s="1822"/>
      <c r="J53" s="1828"/>
      <c r="L53" s="1826" t="s">
        <v>3702</v>
      </c>
    </row>
    <row r="54" spans="1:12" s="1821" customFormat="1" ht="11.25" customHeight="1">
      <c r="A54" s="1818"/>
      <c r="B54" s="1819"/>
      <c r="C54" s="1819"/>
      <c r="D54" s="1819"/>
      <c r="E54" s="1827" t="s">
        <v>2937</v>
      </c>
      <c r="F54" s="1821" t="s">
        <v>3069</v>
      </c>
      <c r="I54" s="1822"/>
      <c r="J54" s="1828"/>
      <c r="L54" s="1826" t="s">
        <v>3702</v>
      </c>
    </row>
    <row r="55" spans="1:12" s="1821" customFormat="1" ht="11.25" customHeight="1">
      <c r="A55" s="1833">
        <v>13</v>
      </c>
      <c r="B55" s="1834" t="s">
        <v>3070</v>
      </c>
      <c r="C55" s="1834"/>
      <c r="D55" s="1834"/>
      <c r="E55" s="1825" t="s">
        <v>2938</v>
      </c>
      <c r="F55" s="1835" t="s">
        <v>3419</v>
      </c>
      <c r="G55" s="1835"/>
      <c r="H55" s="1835"/>
      <c r="I55" s="1847"/>
      <c r="J55" s="1848"/>
      <c r="K55" s="1849"/>
      <c r="L55" s="1826" t="s">
        <v>3705</v>
      </c>
    </row>
    <row r="56" spans="1:12" s="1821" customFormat="1" ht="11.25" customHeight="1">
      <c r="A56" s="1818"/>
      <c r="B56" s="1819"/>
      <c r="C56" s="1819"/>
      <c r="D56" s="1819"/>
      <c r="E56" s="1827" t="s">
        <v>2936</v>
      </c>
      <c r="F56" s="1821" t="s">
        <v>3420</v>
      </c>
      <c r="I56" s="1822"/>
      <c r="J56" s="1828"/>
      <c r="L56" s="1826" t="s">
        <v>3705</v>
      </c>
    </row>
    <row r="57" spans="1:12" s="1821" customFormat="1" ht="11.25" customHeight="1">
      <c r="A57" s="1818"/>
      <c r="B57" s="1819"/>
      <c r="C57" s="1819"/>
      <c r="D57" s="1819"/>
      <c r="E57" s="1827" t="s">
        <v>2937</v>
      </c>
      <c r="F57" s="1821" t="s">
        <v>3071</v>
      </c>
      <c r="I57" s="1822"/>
      <c r="J57" s="1828"/>
      <c r="L57" s="1826" t="s">
        <v>3705</v>
      </c>
    </row>
    <row r="58" spans="1:12" s="1821" customFormat="1" ht="11.25" customHeight="1">
      <c r="A58" s="1833">
        <v>14</v>
      </c>
      <c r="B58" s="1834" t="s">
        <v>3072</v>
      </c>
      <c r="C58" s="1834"/>
      <c r="D58" s="1834"/>
      <c r="E58" s="1825" t="s">
        <v>2938</v>
      </c>
      <c r="F58" s="1835" t="s">
        <v>3073</v>
      </c>
      <c r="G58" s="1835"/>
      <c r="H58" s="1835"/>
      <c r="I58" s="1847"/>
      <c r="J58" s="1848"/>
      <c r="K58" s="1849"/>
      <c r="L58" s="1826" t="s">
        <v>3702</v>
      </c>
    </row>
    <row r="59" spans="1:12" s="1821" customFormat="1" ht="11.25" customHeight="1">
      <c r="A59" s="1833">
        <v>15</v>
      </c>
      <c r="B59" s="1834" t="s">
        <v>3074</v>
      </c>
      <c r="C59" s="1834"/>
      <c r="D59" s="1834" t="s">
        <v>3075</v>
      </c>
      <c r="E59" s="1825" t="s">
        <v>2938</v>
      </c>
      <c r="F59" s="1835" t="s">
        <v>3076</v>
      </c>
      <c r="G59" s="1835"/>
      <c r="H59" s="1835"/>
      <c r="I59" s="1847"/>
      <c r="J59" s="1848"/>
      <c r="K59" s="1849"/>
      <c r="L59" s="1826" t="s">
        <v>3702</v>
      </c>
    </row>
    <row r="60" spans="1:12" s="1821" customFormat="1" ht="11.25" customHeight="1">
      <c r="A60" s="1818"/>
      <c r="B60" s="1836"/>
      <c r="C60" s="1836"/>
      <c r="D60" s="1819" t="s">
        <v>3050</v>
      </c>
      <c r="E60" s="1827" t="s">
        <v>2936</v>
      </c>
      <c r="F60" s="1821" t="s">
        <v>3077</v>
      </c>
      <c r="I60" s="1822"/>
      <c r="J60" s="1828"/>
      <c r="L60" s="1826" t="s">
        <v>3705</v>
      </c>
    </row>
    <row r="61" spans="1:12" s="1821" customFormat="1" ht="11.25" customHeight="1">
      <c r="A61" s="1818"/>
      <c r="B61" s="1836"/>
      <c r="C61" s="1836"/>
      <c r="D61" s="1819" t="s">
        <v>3078</v>
      </c>
      <c r="E61" s="1827" t="s">
        <v>2937</v>
      </c>
      <c r="F61" s="1821" t="s">
        <v>3079</v>
      </c>
      <c r="I61" s="1822"/>
      <c r="J61" s="1828"/>
      <c r="L61" s="1826" t="s">
        <v>3705</v>
      </c>
    </row>
    <row r="62" spans="1:12" s="1821" customFormat="1" ht="11.25" customHeight="1">
      <c r="A62" s="1833">
        <v>16</v>
      </c>
      <c r="B62" s="1870" t="s">
        <v>3080</v>
      </c>
      <c r="C62" s="1870"/>
      <c r="D62" s="1834"/>
      <c r="E62" s="1825" t="s">
        <v>2938</v>
      </c>
      <c r="F62" s="1835" t="s">
        <v>3081</v>
      </c>
      <c r="G62" s="1835"/>
      <c r="H62" s="1835"/>
      <c r="I62" s="1847"/>
      <c r="J62" s="1848"/>
      <c r="K62" s="1849"/>
      <c r="L62" s="1826" t="s">
        <v>3705</v>
      </c>
    </row>
    <row r="63" spans="1:12" s="1821" customFormat="1" ht="11.25" customHeight="1">
      <c r="A63" s="1818"/>
      <c r="B63" s="1871"/>
      <c r="C63" s="1871"/>
      <c r="D63" s="1819"/>
      <c r="E63" s="1827" t="s">
        <v>2936</v>
      </c>
      <c r="F63" s="1821" t="s">
        <v>3082</v>
      </c>
      <c r="I63" s="1822"/>
      <c r="J63" s="1828"/>
      <c r="L63" s="1826" t="s">
        <v>3705</v>
      </c>
    </row>
    <row r="64" spans="1:12" s="1821" customFormat="1" ht="11.25" customHeight="1">
      <c r="A64" s="1818"/>
      <c r="B64" s="1871"/>
      <c r="C64" s="1871"/>
      <c r="D64" s="1819"/>
      <c r="E64" s="1827" t="s">
        <v>2937</v>
      </c>
      <c r="F64" s="1821" t="s">
        <v>3083</v>
      </c>
      <c r="I64" s="1822"/>
      <c r="J64" s="1828"/>
      <c r="L64" s="1826" t="s">
        <v>3705</v>
      </c>
    </row>
    <row r="65" spans="1:12" s="1821" customFormat="1" ht="11.25" customHeight="1">
      <c r="A65" s="1818"/>
      <c r="B65" s="1819"/>
      <c r="C65" s="1819"/>
      <c r="D65" s="1819"/>
      <c r="E65" s="1827" t="s">
        <v>2939</v>
      </c>
      <c r="F65" s="1821" t="s">
        <v>3084</v>
      </c>
      <c r="I65" s="1822"/>
      <c r="J65" s="1828"/>
      <c r="L65" s="1826" t="s">
        <v>3705</v>
      </c>
    </row>
    <row r="66" spans="1:12" s="1821" customFormat="1" ht="11.25" customHeight="1">
      <c r="A66" s="1833" t="s">
        <v>3145</v>
      </c>
      <c r="B66" s="1870" t="s">
        <v>3197</v>
      </c>
      <c r="C66" s="1870"/>
      <c r="D66" s="1834" t="s">
        <v>3195</v>
      </c>
      <c r="E66" s="1825" t="s">
        <v>2938</v>
      </c>
      <c r="F66" s="1872" t="s">
        <v>3085</v>
      </c>
      <c r="G66" s="1873"/>
      <c r="H66" s="1835"/>
      <c r="I66" s="1847"/>
      <c r="J66" s="1848"/>
      <c r="K66" s="1849"/>
      <c r="L66" s="1826" t="s">
        <v>3705</v>
      </c>
    </row>
    <row r="67" spans="1:12" s="1821" customFormat="1" ht="11.25" customHeight="1">
      <c r="A67" s="1818"/>
      <c r="B67" s="1874"/>
      <c r="C67" s="1874"/>
      <c r="D67" s="1819"/>
      <c r="E67" s="1842" t="s">
        <v>2936</v>
      </c>
      <c r="F67" s="1821" t="s">
        <v>3086</v>
      </c>
      <c r="I67" s="1822"/>
      <c r="J67" s="1828"/>
      <c r="L67" s="1826" t="s">
        <v>3702</v>
      </c>
    </row>
    <row r="68" spans="1:12" s="1821" customFormat="1" ht="11.25" customHeight="1">
      <c r="A68" s="1833" t="s">
        <v>3146</v>
      </c>
      <c r="B68" s="1870" t="s">
        <v>3207</v>
      </c>
      <c r="C68" s="1870"/>
      <c r="D68" s="1834"/>
      <c r="E68" s="1825" t="s">
        <v>2938</v>
      </c>
      <c r="F68" s="1835" t="s">
        <v>3131</v>
      </c>
      <c r="G68" s="1835"/>
      <c r="H68" s="1835"/>
      <c r="I68" s="1847"/>
      <c r="J68" s="1848"/>
      <c r="K68" s="1849"/>
      <c r="L68" s="1826" t="s">
        <v>3705</v>
      </c>
    </row>
    <row r="69" spans="1:12" s="1821" customFormat="1" ht="11.25" customHeight="1">
      <c r="A69" s="1875"/>
      <c r="B69" s="1871"/>
      <c r="C69" s="1871"/>
      <c r="D69" s="1861"/>
      <c r="E69" s="1827" t="s">
        <v>2936</v>
      </c>
      <c r="F69" s="1862" t="s">
        <v>3088</v>
      </c>
      <c r="G69" s="1862"/>
      <c r="H69" s="1862"/>
      <c r="I69" s="1863"/>
      <c r="J69" s="1862"/>
      <c r="K69" s="1865"/>
      <c r="L69" s="1826" t="s">
        <v>3705</v>
      </c>
    </row>
    <row r="70" spans="1:12" s="1821" customFormat="1" ht="11.25" customHeight="1">
      <c r="A70" s="1818"/>
      <c r="B70" s="1819" t="s">
        <v>3208</v>
      </c>
      <c r="C70" s="1819"/>
      <c r="D70" s="1819"/>
      <c r="E70" s="1827" t="s">
        <v>2937</v>
      </c>
      <c r="F70" s="1821" t="s">
        <v>3089</v>
      </c>
      <c r="I70" s="1822"/>
      <c r="L70" s="1826" t="s">
        <v>3705</v>
      </c>
    </row>
    <row r="71" spans="1:12" s="1821" customFormat="1" ht="11.25" customHeight="1">
      <c r="A71" s="1818"/>
      <c r="B71" s="1819"/>
      <c r="C71" s="1819"/>
      <c r="D71" s="1819"/>
      <c r="E71" s="1827" t="s">
        <v>2939</v>
      </c>
      <c r="F71" s="1821" t="s">
        <v>3090</v>
      </c>
      <c r="I71" s="1822"/>
      <c r="L71" s="1826" t="s">
        <v>3702</v>
      </c>
    </row>
    <row r="72" spans="1:12" s="1821" customFormat="1" ht="11.25" customHeight="1">
      <c r="A72" s="1818"/>
      <c r="B72" s="1876" t="s">
        <v>3611</v>
      </c>
      <c r="C72" s="1836"/>
      <c r="D72" s="1819" t="s">
        <v>3075</v>
      </c>
      <c r="E72" s="1827" t="s">
        <v>2940</v>
      </c>
      <c r="F72" s="1877" t="s">
        <v>3612</v>
      </c>
      <c r="G72" s="1877"/>
      <c r="H72" s="1877"/>
      <c r="I72" s="1822"/>
      <c r="J72" s="1828"/>
      <c r="L72" s="1826" t="s">
        <v>3705</v>
      </c>
    </row>
    <row r="73" spans="1:12" s="1821" customFormat="1" ht="11.25" customHeight="1">
      <c r="A73" s="1818"/>
      <c r="C73" s="1836"/>
      <c r="D73" s="1819" t="s">
        <v>3050</v>
      </c>
      <c r="E73" s="1827" t="s">
        <v>2941</v>
      </c>
      <c r="F73" s="1821" t="s">
        <v>3613</v>
      </c>
      <c r="I73" s="1822"/>
      <c r="J73" s="1828"/>
      <c r="L73" s="1826" t="s">
        <v>3705</v>
      </c>
    </row>
    <row r="74" spans="1:12" s="1821" customFormat="1" ht="11.25" customHeight="1">
      <c r="A74" s="1818"/>
      <c r="B74" s="1819"/>
      <c r="C74" s="1819"/>
      <c r="D74" s="1819"/>
      <c r="E74" s="1827" t="s">
        <v>2942</v>
      </c>
      <c r="F74" s="1821" t="s">
        <v>3614</v>
      </c>
      <c r="I74" s="1822"/>
      <c r="J74" s="1828"/>
      <c r="L74" s="1826" t="s">
        <v>3705</v>
      </c>
    </row>
    <row r="75" spans="1:12" s="1821" customFormat="1" ht="11.25" customHeight="1">
      <c r="A75" s="1818"/>
      <c r="C75" s="1819"/>
      <c r="D75" s="1819"/>
      <c r="E75" s="1827" t="s">
        <v>3143</v>
      </c>
      <c r="F75" s="1878" t="s">
        <v>3615</v>
      </c>
      <c r="G75" s="1878"/>
      <c r="H75" s="1878"/>
      <c r="I75" s="1822"/>
      <c r="J75" s="1828"/>
      <c r="L75" s="1826" t="s">
        <v>3705</v>
      </c>
    </row>
    <row r="76" spans="1:12" s="1821" customFormat="1" ht="11.25" customHeight="1">
      <c r="A76" s="1818"/>
      <c r="B76" s="1819"/>
      <c r="C76" s="1819"/>
      <c r="D76" s="1819"/>
      <c r="E76" s="1827" t="s">
        <v>3144</v>
      </c>
      <c r="F76" s="1878" t="s">
        <v>3616</v>
      </c>
      <c r="G76" s="1878"/>
      <c r="H76" s="1878"/>
      <c r="I76" s="1822"/>
      <c r="J76" s="1828"/>
      <c r="L76" s="1826" t="s">
        <v>3705</v>
      </c>
    </row>
    <row r="77" spans="1:12" s="1821" customFormat="1" ht="11.25" customHeight="1">
      <c r="A77" s="1818"/>
      <c r="B77" s="1819"/>
      <c r="C77" s="1819"/>
      <c r="D77" s="1819"/>
      <c r="E77" s="1827" t="s">
        <v>3202</v>
      </c>
      <c r="F77" s="1853" t="s">
        <v>3161</v>
      </c>
      <c r="G77" s="1853"/>
      <c r="H77" s="1853"/>
      <c r="I77" s="1853"/>
      <c r="J77" s="1853"/>
      <c r="K77" s="1854"/>
      <c r="L77" s="1826" t="s">
        <v>3702</v>
      </c>
    </row>
    <row r="78" spans="1:12" s="1821" customFormat="1" ht="11.25" customHeight="1">
      <c r="A78" s="1833">
        <v>19</v>
      </c>
      <c r="B78" s="1834" t="s">
        <v>3198</v>
      </c>
      <c r="C78" s="1834"/>
      <c r="D78" s="1834" t="s">
        <v>3075</v>
      </c>
      <c r="E78" s="1825" t="s">
        <v>2938</v>
      </c>
      <c r="F78" s="1835" t="s">
        <v>3091</v>
      </c>
      <c r="G78" s="1835"/>
      <c r="H78" s="1835"/>
      <c r="I78" s="1847"/>
      <c r="J78" s="1848"/>
      <c r="K78" s="1835"/>
      <c r="L78" s="1826" t="s">
        <v>3702</v>
      </c>
    </row>
    <row r="79" spans="1:12" s="1821" customFormat="1" ht="11.25" customHeight="1">
      <c r="A79" s="1818"/>
      <c r="B79" s="1819"/>
      <c r="C79" s="1819"/>
      <c r="D79" s="1819"/>
      <c r="E79" s="1827" t="s">
        <v>2936</v>
      </c>
      <c r="F79" s="1821" t="s">
        <v>3092</v>
      </c>
      <c r="I79" s="1822"/>
      <c r="J79" s="1828"/>
      <c r="L79" s="1826" t="s">
        <v>3702</v>
      </c>
    </row>
    <row r="80" spans="1:12" s="1821" customFormat="1" ht="11.25" customHeight="1">
      <c r="A80" s="1818"/>
      <c r="C80" s="1836"/>
      <c r="D80" s="1819" t="s">
        <v>3093</v>
      </c>
      <c r="E80" s="1827" t="s">
        <v>2937</v>
      </c>
      <c r="F80" s="1821" t="s">
        <v>3094</v>
      </c>
      <c r="I80" s="1822"/>
      <c r="J80" s="1828"/>
      <c r="L80" s="1826" t="s">
        <v>3702</v>
      </c>
    </row>
    <row r="81" spans="1:12" s="1821" customFormat="1" ht="21" customHeight="1">
      <c r="A81" s="1857"/>
      <c r="B81" s="1858"/>
      <c r="C81" s="1858"/>
      <c r="D81" s="1858"/>
      <c r="E81" s="1852" t="s">
        <v>2939</v>
      </c>
      <c r="F81" s="1879" t="s">
        <v>3421</v>
      </c>
      <c r="G81" s="1880"/>
      <c r="H81" s="1880"/>
      <c r="I81" s="1880"/>
      <c r="J81" s="1880"/>
      <c r="K81" s="1881"/>
      <c r="L81" s="1826" t="s">
        <v>3702</v>
      </c>
    </row>
    <row r="82" spans="1:12" s="1821" customFormat="1" ht="11.25" customHeight="1">
      <c r="A82" s="1875">
        <v>20</v>
      </c>
      <c r="B82" s="1861" t="s">
        <v>3423</v>
      </c>
      <c r="C82" s="1861"/>
      <c r="D82" s="1861"/>
      <c r="E82" s="1827" t="s">
        <v>2938</v>
      </c>
      <c r="F82" s="1862" t="s">
        <v>3095</v>
      </c>
      <c r="G82" s="1862"/>
      <c r="H82" s="1862"/>
      <c r="I82" s="1863"/>
      <c r="J82" s="1864"/>
      <c r="K82" s="1862"/>
      <c r="L82" s="1826" t="s">
        <v>3702</v>
      </c>
    </row>
    <row r="83" spans="1:12" s="1821" customFormat="1" ht="11.25" customHeight="1">
      <c r="B83" s="1861"/>
      <c r="C83" s="1861"/>
      <c r="D83" s="1861"/>
      <c r="E83" s="1827" t="s">
        <v>2936</v>
      </c>
      <c r="F83" s="1862" t="s">
        <v>3422</v>
      </c>
      <c r="G83" s="1862"/>
      <c r="H83" s="1862"/>
      <c r="I83" s="1863"/>
      <c r="J83" s="1864"/>
      <c r="K83" s="1862"/>
      <c r="L83" s="1826" t="s">
        <v>3702</v>
      </c>
    </row>
    <row r="84" spans="1:12" s="1821" customFormat="1" ht="11.25" customHeight="1">
      <c r="A84" s="1857"/>
      <c r="B84" s="1858"/>
      <c r="C84" s="1858"/>
      <c r="D84" s="1858"/>
      <c r="E84" s="1852" t="s">
        <v>2937</v>
      </c>
      <c r="F84" s="1859" t="s">
        <v>3096</v>
      </c>
      <c r="G84" s="1859"/>
      <c r="H84" s="1859"/>
      <c r="I84" s="1822"/>
      <c r="J84" s="1828"/>
      <c r="L84" s="1826" t="s">
        <v>3702</v>
      </c>
    </row>
    <row r="85" spans="1:12" s="1821" customFormat="1" ht="11.25" customHeight="1">
      <c r="A85" s="1833">
        <v>21</v>
      </c>
      <c r="B85" s="1870" t="s">
        <v>3424</v>
      </c>
      <c r="C85" s="1870"/>
      <c r="D85" s="1834"/>
      <c r="E85" s="1825" t="s">
        <v>2938</v>
      </c>
      <c r="F85" s="1835" t="s">
        <v>3163</v>
      </c>
      <c r="G85" s="1835"/>
      <c r="H85" s="1835"/>
      <c r="I85" s="1847"/>
      <c r="J85" s="1848"/>
      <c r="K85" s="1849"/>
      <c r="L85" s="1826" t="s">
        <v>3702</v>
      </c>
    </row>
    <row r="86" spans="1:12" s="1821" customFormat="1" ht="11.25" customHeight="1">
      <c r="A86" s="1818"/>
      <c r="B86" s="1871"/>
      <c r="C86" s="1871"/>
      <c r="D86" s="1819"/>
      <c r="E86" s="1827" t="s">
        <v>2936</v>
      </c>
      <c r="F86" s="1821" t="s">
        <v>2582</v>
      </c>
      <c r="I86" s="1822"/>
      <c r="J86" s="1828"/>
      <c r="L86" s="1826" t="s">
        <v>3705</v>
      </c>
    </row>
    <row r="87" spans="1:12" s="1821" customFormat="1" ht="11.25" customHeight="1">
      <c r="B87" s="1819"/>
      <c r="C87" s="1819"/>
      <c r="D87" s="1819"/>
      <c r="E87" s="1827" t="s">
        <v>2937</v>
      </c>
      <c r="F87" s="1821" t="s">
        <v>3097</v>
      </c>
      <c r="I87" s="1822"/>
      <c r="J87" s="1828"/>
      <c r="L87" s="1826" t="s">
        <v>3702</v>
      </c>
    </row>
    <row r="88" spans="1:12" s="1821" customFormat="1" ht="11.25" customHeight="1">
      <c r="A88" s="1818"/>
      <c r="B88" s="1819"/>
      <c r="C88" s="1819"/>
      <c r="D88" s="1819"/>
      <c r="E88" s="1827" t="s">
        <v>2939</v>
      </c>
      <c r="F88" s="1821" t="s">
        <v>522</v>
      </c>
      <c r="I88" s="1822"/>
      <c r="J88" s="1828"/>
      <c r="L88" s="1826" t="s">
        <v>3705</v>
      </c>
    </row>
    <row r="89" spans="1:12" s="1821" customFormat="1" ht="11.25" customHeight="1">
      <c r="A89" s="1818"/>
      <c r="B89" s="1819"/>
      <c r="C89" s="1819"/>
      <c r="D89" s="1819"/>
      <c r="E89" s="1827" t="s">
        <v>2940</v>
      </c>
      <c r="F89" s="1821" t="s">
        <v>692</v>
      </c>
      <c r="I89" s="1822"/>
      <c r="J89" s="1828"/>
      <c r="L89" s="1826" t="s">
        <v>3702</v>
      </c>
    </row>
    <row r="90" spans="1:12" s="1821" customFormat="1" ht="11.25" customHeight="1">
      <c r="B90" s="1819"/>
      <c r="C90" s="1819"/>
      <c r="D90" s="1819"/>
      <c r="E90" s="1827" t="s">
        <v>2941</v>
      </c>
      <c r="F90" s="1821" t="s">
        <v>1647</v>
      </c>
      <c r="I90" s="1822"/>
      <c r="J90" s="1828"/>
      <c r="L90" s="1826" t="s">
        <v>3705</v>
      </c>
    </row>
    <row r="91" spans="1:12" s="1821" customFormat="1" ht="11.25" customHeight="1">
      <c r="A91" s="1818"/>
      <c r="B91" s="1819"/>
      <c r="C91" s="1819"/>
      <c r="D91" s="1819"/>
      <c r="E91" s="1827" t="s">
        <v>2942</v>
      </c>
      <c r="F91" s="1821" t="s">
        <v>3429</v>
      </c>
      <c r="I91" s="1822"/>
      <c r="J91" s="1828"/>
      <c r="L91" s="1826" t="s">
        <v>3705</v>
      </c>
    </row>
    <row r="92" spans="1:12" s="1821" customFormat="1" ht="11.25" customHeight="1">
      <c r="A92" s="1818"/>
      <c r="B92" s="1819"/>
      <c r="C92" s="1819"/>
      <c r="D92" s="1819"/>
      <c r="E92" s="1827" t="s">
        <v>3143</v>
      </c>
      <c r="F92" s="1821" t="s">
        <v>3426</v>
      </c>
      <c r="I92" s="1822"/>
      <c r="J92" s="1828"/>
      <c r="L92" s="1826" t="s">
        <v>3705</v>
      </c>
    </row>
    <row r="93" spans="1:12" s="1821" customFormat="1" ht="11.25" customHeight="1">
      <c r="A93" s="1882">
        <v>22</v>
      </c>
      <c r="B93" s="1834" t="s">
        <v>3425</v>
      </c>
      <c r="C93" s="1834"/>
      <c r="D93" s="1834" t="s">
        <v>3075</v>
      </c>
      <c r="E93" s="1825" t="s">
        <v>2938</v>
      </c>
      <c r="F93" s="1835" t="s">
        <v>3629</v>
      </c>
      <c r="G93" s="1835"/>
      <c r="H93" s="1835"/>
      <c r="I93" s="1847"/>
      <c r="J93" s="1848"/>
      <c r="K93" s="1835"/>
      <c r="L93" s="1826" t="s">
        <v>3705</v>
      </c>
    </row>
    <row r="94" spans="1:12" s="1821" customFormat="1" ht="11.25" customHeight="1">
      <c r="A94" s="1818"/>
      <c r="C94" s="1836"/>
      <c r="D94" s="1819" t="s">
        <v>3050</v>
      </c>
      <c r="E94" s="1827" t="s">
        <v>2936</v>
      </c>
      <c r="F94" s="1821" t="s">
        <v>3098</v>
      </c>
      <c r="I94" s="1822"/>
      <c r="J94" s="1828"/>
      <c r="L94" s="1826" t="s">
        <v>3702</v>
      </c>
    </row>
    <row r="95" spans="1:12" s="1821" customFormat="1" ht="11.25" customHeight="1">
      <c r="C95" s="1836"/>
      <c r="D95" s="1819" t="s">
        <v>3078</v>
      </c>
      <c r="E95" s="1827" t="s">
        <v>2937</v>
      </c>
      <c r="F95" s="1821" t="s">
        <v>3099</v>
      </c>
      <c r="I95" s="1822"/>
      <c r="J95" s="1828"/>
      <c r="L95" s="1826" t="s">
        <v>3702</v>
      </c>
    </row>
    <row r="96" spans="1:12" s="1821" customFormat="1" ht="11.25" customHeight="1">
      <c r="A96" s="1818"/>
      <c r="C96" s="1836"/>
      <c r="D96" s="1819" t="s">
        <v>3087</v>
      </c>
      <c r="E96" s="1827" t="s">
        <v>2939</v>
      </c>
      <c r="F96" s="1821" t="s">
        <v>3100</v>
      </c>
      <c r="I96" s="1822"/>
      <c r="J96" s="1828"/>
      <c r="L96" s="1826" t="s">
        <v>3702</v>
      </c>
    </row>
    <row r="97" spans="1:12" s="1821" customFormat="1" ht="11.25" customHeight="1">
      <c r="A97" s="1833">
        <v>23</v>
      </c>
      <c r="B97" s="1883" t="s">
        <v>3427</v>
      </c>
      <c r="C97" s="1883"/>
      <c r="D97" s="1884"/>
      <c r="E97" s="1825" t="s">
        <v>2938</v>
      </c>
      <c r="F97" s="1885" t="s">
        <v>3101</v>
      </c>
      <c r="G97" s="1885"/>
      <c r="H97" s="1885"/>
      <c r="I97" s="1847"/>
      <c r="J97" s="1848"/>
      <c r="K97" s="1835"/>
      <c r="L97" s="1826" t="s">
        <v>3705</v>
      </c>
    </row>
    <row r="98" spans="1:12" s="1821" customFormat="1" ht="11.25" customHeight="1">
      <c r="A98" s="1886"/>
      <c r="B98" s="1887"/>
      <c r="C98" s="1887"/>
      <c r="D98" s="1888"/>
      <c r="E98" s="1827" t="s">
        <v>2936</v>
      </c>
      <c r="F98" s="1841" t="s">
        <v>1565</v>
      </c>
      <c r="G98" s="1841"/>
      <c r="H98" s="1841"/>
      <c r="I98" s="1822"/>
      <c r="J98" s="1828"/>
      <c r="L98" s="1826" t="s">
        <v>3705</v>
      </c>
    </row>
    <row r="99" spans="1:12" s="1821" customFormat="1" ht="11.25" customHeight="1">
      <c r="A99" s="1886"/>
      <c r="B99" s="1889"/>
      <c r="C99" s="1889"/>
      <c r="D99" s="1889"/>
      <c r="E99" s="1827" t="s">
        <v>2937</v>
      </c>
      <c r="F99" s="1841" t="s">
        <v>3428</v>
      </c>
      <c r="G99" s="1841"/>
      <c r="H99" s="1841"/>
      <c r="I99" s="1822"/>
      <c r="J99" s="1828"/>
      <c r="L99" s="1826" t="s">
        <v>3705</v>
      </c>
    </row>
    <row r="100" spans="1:12" s="1821" customFormat="1" ht="11.25" customHeight="1">
      <c r="B100" s="1889"/>
      <c r="C100" s="1889"/>
      <c r="D100" s="1889"/>
      <c r="E100" s="1827" t="s">
        <v>2939</v>
      </c>
      <c r="F100" s="1841" t="s">
        <v>2365</v>
      </c>
      <c r="G100" s="1841"/>
      <c r="H100" s="1841"/>
      <c r="I100" s="1822"/>
      <c r="J100" s="1828"/>
      <c r="L100" s="1826" t="s">
        <v>3705</v>
      </c>
    </row>
    <row r="101" spans="1:12" s="1821" customFormat="1" ht="11.25" customHeight="1">
      <c r="A101" s="1886"/>
      <c r="B101" s="1889"/>
      <c r="C101" s="1889"/>
      <c r="D101" s="1889"/>
      <c r="E101" s="1827" t="s">
        <v>2940</v>
      </c>
      <c r="F101" s="1841" t="s">
        <v>3102</v>
      </c>
      <c r="G101" s="1841"/>
      <c r="H101" s="1841"/>
      <c r="I101" s="1822"/>
      <c r="J101" s="1828"/>
      <c r="L101" s="1826" t="s">
        <v>3705</v>
      </c>
    </row>
    <row r="102" spans="1:12" s="1821" customFormat="1" ht="11.25" customHeight="1">
      <c r="A102" s="1886"/>
      <c r="B102" s="1886"/>
      <c r="C102" s="1886"/>
      <c r="D102" s="1886"/>
      <c r="E102" s="1827" t="s">
        <v>2941</v>
      </c>
      <c r="F102" s="1841" t="s">
        <v>3103</v>
      </c>
      <c r="G102" s="1841"/>
      <c r="H102" s="1841"/>
      <c r="I102" s="1822"/>
      <c r="J102" s="1828"/>
      <c r="L102" s="1826" t="s">
        <v>3705</v>
      </c>
    </row>
    <row r="103" spans="1:12" s="1821" customFormat="1" ht="11.25" customHeight="1">
      <c r="A103" s="1886"/>
      <c r="B103" s="1886"/>
      <c r="C103" s="1886"/>
      <c r="D103" s="1886"/>
      <c r="E103" s="1827" t="s">
        <v>2942</v>
      </c>
      <c r="F103" s="1841" t="s">
        <v>3104</v>
      </c>
      <c r="G103" s="1841"/>
      <c r="H103" s="1841"/>
      <c r="I103" s="1822"/>
      <c r="J103" s="1828"/>
      <c r="L103" s="1829" t="s">
        <v>3702</v>
      </c>
    </row>
    <row r="104" spans="1:12" s="1821" customFormat="1" ht="11.25" customHeight="1">
      <c r="A104" s="1886"/>
      <c r="B104" s="1886"/>
      <c r="C104" s="1886"/>
      <c r="D104" s="1886"/>
      <c r="E104" s="1830" t="s">
        <v>3143</v>
      </c>
      <c r="F104" s="1841" t="s">
        <v>3164</v>
      </c>
      <c r="G104" s="1841"/>
      <c r="H104" s="1841"/>
      <c r="I104" s="1822"/>
      <c r="J104" s="1828"/>
      <c r="L104" s="1829" t="s">
        <v>3702</v>
      </c>
    </row>
    <row r="105" spans="1:12" s="1862" customFormat="1" ht="11.25" customHeight="1">
      <c r="A105" s="1831" t="s">
        <v>3105</v>
      </c>
      <c r="B105" s="1831"/>
      <c r="C105" s="1831"/>
      <c r="D105" s="1831"/>
      <c r="E105" s="1831"/>
      <c r="F105" s="1831"/>
      <c r="G105" s="1831"/>
      <c r="H105" s="1831"/>
      <c r="I105" s="1831"/>
      <c r="J105" s="1831"/>
      <c r="K105" s="1831"/>
      <c r="L105" s="1831"/>
    </row>
    <row r="106" spans="1:12" s="1821" customFormat="1" ht="11.25" customHeight="1">
      <c r="A106" s="1833">
        <v>24</v>
      </c>
      <c r="B106" s="1870" t="s">
        <v>3199</v>
      </c>
      <c r="C106" s="1870"/>
      <c r="D106" s="1890"/>
      <c r="E106" s="1825" t="s">
        <v>2938</v>
      </c>
      <c r="F106" s="1891" t="s">
        <v>3106</v>
      </c>
      <c r="G106" s="1835"/>
      <c r="H106" s="1835"/>
      <c r="I106" s="1847"/>
      <c r="J106" s="1848"/>
      <c r="K106" s="1849"/>
      <c r="L106" s="1826" t="s">
        <v>3705</v>
      </c>
    </row>
    <row r="107" spans="1:12" s="1821" customFormat="1" ht="11.25" customHeight="1">
      <c r="A107" s="1818"/>
      <c r="B107" s="1871"/>
      <c r="C107" s="1871"/>
      <c r="D107" s="1892"/>
      <c r="E107" s="1827" t="s">
        <v>2936</v>
      </c>
      <c r="F107" s="1821" t="s">
        <v>3617</v>
      </c>
      <c r="I107" s="1822"/>
      <c r="J107" s="1828"/>
      <c r="L107" s="1826" t="s">
        <v>3705</v>
      </c>
    </row>
    <row r="108" spans="1:12" s="1821" customFormat="1" ht="11.25" customHeight="1">
      <c r="A108" s="1818"/>
      <c r="B108" s="1819"/>
      <c r="C108" s="1819"/>
      <c r="D108" s="1819"/>
      <c r="E108" s="1827" t="s">
        <v>2937</v>
      </c>
      <c r="F108" s="1821" t="s">
        <v>3107</v>
      </c>
      <c r="I108" s="1822"/>
      <c r="J108" s="1828"/>
      <c r="L108" s="1826" t="s">
        <v>3705</v>
      </c>
    </row>
    <row r="109" spans="1:12" s="1821" customFormat="1" ht="11.25" customHeight="1">
      <c r="B109" s="1819"/>
      <c r="C109" s="1819"/>
      <c r="D109" s="1819"/>
      <c r="E109" s="1827" t="s">
        <v>2939</v>
      </c>
      <c r="F109" s="1877" t="s">
        <v>3165</v>
      </c>
      <c r="G109" s="1877"/>
      <c r="H109" s="1877"/>
      <c r="I109" s="1877"/>
      <c r="J109" s="1877"/>
      <c r="K109" s="1893"/>
      <c r="L109" s="1826" t="s">
        <v>3702</v>
      </c>
    </row>
    <row r="110" spans="1:12" s="1821" customFormat="1" ht="11.25" customHeight="1">
      <c r="A110" s="1818"/>
      <c r="B110" s="1819"/>
      <c r="C110" s="1819"/>
      <c r="D110" s="1819"/>
      <c r="E110" s="1827" t="s">
        <v>2940</v>
      </c>
      <c r="F110" s="1821" t="s">
        <v>3108</v>
      </c>
      <c r="I110" s="1822"/>
      <c r="J110" s="1828"/>
      <c r="L110" s="1826" t="s">
        <v>3702</v>
      </c>
    </row>
    <row r="111" spans="1:12" s="1821" customFormat="1" ht="11.25" customHeight="1">
      <c r="A111" s="1833">
        <v>25</v>
      </c>
      <c r="B111" s="1834" t="s">
        <v>3109</v>
      </c>
      <c r="C111" s="1834"/>
      <c r="D111" s="1834" t="s">
        <v>3075</v>
      </c>
      <c r="E111" s="1825" t="s">
        <v>2938</v>
      </c>
      <c r="F111" s="1835" t="s">
        <v>3445</v>
      </c>
      <c r="G111" s="1835"/>
      <c r="H111" s="1835"/>
      <c r="I111" s="1847"/>
      <c r="J111" s="1848"/>
      <c r="K111" s="1835"/>
      <c r="L111" s="1826" t="s">
        <v>3702</v>
      </c>
    </row>
    <row r="112" spans="1:12" s="1821" customFormat="1" ht="11.25" customHeight="1">
      <c r="A112" s="1818"/>
      <c r="B112" s="1861"/>
      <c r="C112" s="1861"/>
      <c r="D112" s="1892"/>
      <c r="E112" s="1827"/>
      <c r="F112" s="1821" t="s">
        <v>3446</v>
      </c>
      <c r="I112" s="1822"/>
      <c r="J112" s="1828"/>
      <c r="L112" s="1826" t="s">
        <v>3702</v>
      </c>
    </row>
    <row r="113" spans="1:12" s="1821" customFormat="1" ht="11.25" customHeight="1">
      <c r="A113" s="1818"/>
      <c r="B113" s="1819"/>
      <c r="C113" s="1819"/>
      <c r="D113" s="1819"/>
      <c r="E113" s="1827"/>
      <c r="F113" s="1821" t="s">
        <v>3447</v>
      </c>
      <c r="I113" s="1822"/>
      <c r="J113" s="1828"/>
      <c r="L113" s="1826" t="s">
        <v>3702</v>
      </c>
    </row>
    <row r="114" spans="1:12" s="1821" customFormat="1" ht="11.25" customHeight="1">
      <c r="B114" s="1819"/>
      <c r="C114" s="1819"/>
      <c r="D114" s="1819"/>
      <c r="E114" s="1827"/>
      <c r="F114" s="1894" t="s">
        <v>3448</v>
      </c>
      <c r="K114" s="1865"/>
      <c r="L114" s="1826" t="s">
        <v>3702</v>
      </c>
    </row>
    <row r="115" spans="1:12" s="1821" customFormat="1" ht="11.25" customHeight="1">
      <c r="B115" s="1819"/>
      <c r="C115" s="1819"/>
      <c r="D115" s="1819"/>
      <c r="E115" s="1827"/>
      <c r="F115" s="1862" t="s">
        <v>3449</v>
      </c>
      <c r="K115" s="1862"/>
      <c r="L115" s="1826" t="s">
        <v>3702</v>
      </c>
    </row>
    <row r="116" spans="1:12" s="1821" customFormat="1" ht="11.25" customHeight="1">
      <c r="B116" s="1819"/>
      <c r="C116" s="1819"/>
      <c r="D116" s="1836" t="s">
        <v>3443</v>
      </c>
      <c r="E116" s="1827" t="s">
        <v>2936</v>
      </c>
      <c r="F116" s="1862" t="s">
        <v>3450</v>
      </c>
      <c r="K116" s="1862"/>
      <c r="L116" s="1826" t="s">
        <v>3702</v>
      </c>
    </row>
    <row r="117" spans="1:12" s="1821" customFormat="1" ht="11.25" customHeight="1">
      <c r="B117" s="1819"/>
      <c r="C117" s="1819"/>
      <c r="D117" s="1836"/>
      <c r="E117" s="1827"/>
      <c r="F117" s="1894" t="s">
        <v>3451</v>
      </c>
      <c r="K117" s="1862"/>
      <c r="L117" s="1826" t="s">
        <v>3702</v>
      </c>
    </row>
    <row r="118" spans="1:12" s="1821" customFormat="1" ht="11.25" customHeight="1">
      <c r="B118" s="1819"/>
      <c r="C118" s="1819"/>
      <c r="D118" s="1836"/>
      <c r="E118" s="1827"/>
      <c r="F118" s="1862" t="s">
        <v>3452</v>
      </c>
      <c r="K118" s="1862"/>
      <c r="L118" s="1826" t="s">
        <v>3702</v>
      </c>
    </row>
    <row r="119" spans="1:12" s="1821" customFormat="1" ht="11.25" customHeight="1">
      <c r="A119" s="1818"/>
      <c r="B119" s="1819"/>
      <c r="C119" s="1819"/>
      <c r="D119" s="1819" t="s">
        <v>3444</v>
      </c>
      <c r="E119" s="1827" t="s">
        <v>2937</v>
      </c>
      <c r="F119" s="1821" t="s">
        <v>3453</v>
      </c>
      <c r="I119" s="1822"/>
      <c r="J119" s="1828"/>
      <c r="L119" s="1826" t="s">
        <v>3705</v>
      </c>
    </row>
    <row r="120" spans="1:12" s="1821" customFormat="1" ht="11.25" customHeight="1">
      <c r="A120" s="1818"/>
      <c r="B120" s="1819"/>
      <c r="C120" s="1819"/>
      <c r="D120" s="1819"/>
      <c r="E120" s="1827"/>
      <c r="F120" s="1894" t="s">
        <v>3451</v>
      </c>
      <c r="I120" s="1822"/>
      <c r="J120" s="1828"/>
      <c r="L120" s="1826" t="s">
        <v>3705</v>
      </c>
    </row>
    <row r="121" spans="1:12" s="1821" customFormat="1" ht="11.25" customHeight="1">
      <c r="A121" s="1875"/>
      <c r="B121" s="1819"/>
      <c r="C121" s="1819"/>
      <c r="D121" s="1819"/>
      <c r="E121" s="1827"/>
      <c r="F121" s="1821" t="s">
        <v>3454</v>
      </c>
      <c r="I121" s="1822"/>
      <c r="J121" s="1828"/>
      <c r="L121" s="1826" t="s">
        <v>3705</v>
      </c>
    </row>
    <row r="122" spans="1:12" s="1821" customFormat="1" ht="11.25" customHeight="1">
      <c r="A122" s="1857"/>
      <c r="B122" s="1858"/>
      <c r="C122" s="1858"/>
      <c r="D122" s="1858"/>
      <c r="E122" s="1852"/>
      <c r="F122" s="1859" t="s">
        <v>3455</v>
      </c>
      <c r="G122" s="1859"/>
      <c r="H122" s="1859"/>
      <c r="I122" s="1822"/>
      <c r="J122" s="1828"/>
      <c r="L122" s="1826" t="s">
        <v>3705</v>
      </c>
    </row>
    <row r="123" spans="1:12" s="1821" customFormat="1" ht="11.25" customHeight="1">
      <c r="A123" s="1875">
        <v>26</v>
      </c>
      <c r="B123" s="1861" t="s">
        <v>3110</v>
      </c>
      <c r="C123" s="1861"/>
      <c r="D123" s="1861"/>
      <c r="E123" s="1827" t="s">
        <v>2938</v>
      </c>
      <c r="F123" s="1862" t="s">
        <v>496</v>
      </c>
      <c r="G123" s="1862"/>
      <c r="H123" s="1862"/>
      <c r="I123" s="1847"/>
      <c r="J123" s="1848"/>
      <c r="K123" s="1835"/>
      <c r="L123" s="1826" t="s">
        <v>3702</v>
      </c>
    </row>
    <row r="124" spans="1:12" s="1821" customFormat="1" ht="21.75" customHeight="1">
      <c r="A124" s="1818"/>
      <c r="B124" s="1819"/>
      <c r="C124" s="1819"/>
      <c r="D124" s="1819"/>
      <c r="E124" s="1827" t="s">
        <v>2936</v>
      </c>
      <c r="F124" s="1877" t="s">
        <v>3111</v>
      </c>
      <c r="G124" s="1877"/>
      <c r="H124" s="1877"/>
      <c r="I124" s="1877"/>
      <c r="J124" s="1877"/>
      <c r="K124" s="1893"/>
      <c r="L124" s="1826" t="s">
        <v>3702</v>
      </c>
    </row>
    <row r="125" spans="1:12" s="1821" customFormat="1" ht="11.25" customHeight="1">
      <c r="A125" s="1818"/>
      <c r="B125" s="1819"/>
      <c r="C125" s="1819"/>
      <c r="D125" s="1819"/>
      <c r="E125" s="1827" t="s">
        <v>2937</v>
      </c>
      <c r="F125" s="1821" t="s">
        <v>3112</v>
      </c>
      <c r="I125" s="1822"/>
      <c r="J125" s="1828"/>
      <c r="L125" s="1826" t="s">
        <v>3702</v>
      </c>
    </row>
    <row r="126" spans="1:12" s="1821" customFormat="1" ht="11.25" customHeight="1">
      <c r="B126" s="1819"/>
      <c r="C126" s="1819"/>
      <c r="D126" s="1819"/>
      <c r="E126" s="1827" t="s">
        <v>2939</v>
      </c>
      <c r="F126" s="1821" t="s">
        <v>3113</v>
      </c>
      <c r="I126" s="1822"/>
      <c r="J126" s="1828"/>
      <c r="L126" s="1826" t="s">
        <v>3702</v>
      </c>
    </row>
    <row r="127" spans="1:12" s="1821" customFormat="1" ht="11.25" customHeight="1">
      <c r="A127" s="1857"/>
      <c r="B127" s="1858"/>
      <c r="C127" s="1858"/>
      <c r="D127" s="1858"/>
      <c r="E127" s="1852" t="s">
        <v>2940</v>
      </c>
      <c r="F127" s="1859" t="s">
        <v>3114</v>
      </c>
      <c r="G127" s="1859"/>
      <c r="H127" s="1859"/>
      <c r="I127" s="1822"/>
      <c r="J127" s="1828"/>
      <c r="L127" s="1826" t="s">
        <v>3702</v>
      </c>
    </row>
    <row r="128" spans="1:12" s="1821" customFormat="1" ht="12" customHeight="1">
      <c r="A128" s="1882">
        <v>27</v>
      </c>
      <c r="B128" s="1870" t="s">
        <v>3115</v>
      </c>
      <c r="C128" s="1870"/>
      <c r="D128" s="1834" t="s">
        <v>3203</v>
      </c>
      <c r="E128" s="1825" t="s">
        <v>2938</v>
      </c>
      <c r="F128" s="1835" t="s">
        <v>3430</v>
      </c>
      <c r="G128" s="1835"/>
      <c r="H128" s="1835"/>
      <c r="I128" s="1847"/>
      <c r="J128" s="1848"/>
      <c r="K128" s="1849"/>
      <c r="L128" s="1826" t="s">
        <v>3702</v>
      </c>
    </row>
    <row r="129" spans="1:12" s="1821" customFormat="1" ht="12" customHeight="1">
      <c r="B129" s="1871"/>
      <c r="C129" s="1871"/>
      <c r="D129" s="1819"/>
      <c r="E129" s="1827"/>
      <c r="F129" s="1821" t="s">
        <v>3173</v>
      </c>
      <c r="I129" s="1822"/>
      <c r="J129" s="1828"/>
      <c r="L129" s="1826" t="s">
        <v>3702</v>
      </c>
    </row>
    <row r="130" spans="1:12" s="1821" customFormat="1" ht="12" customHeight="1">
      <c r="A130" s="1818"/>
      <c r="C130" s="1819"/>
      <c r="D130" s="1819"/>
      <c r="E130" s="1827"/>
      <c r="F130" s="1821" t="s">
        <v>3174</v>
      </c>
      <c r="I130" s="1822"/>
      <c r="J130" s="1828"/>
      <c r="L130" s="1826" t="s">
        <v>3702</v>
      </c>
    </row>
    <row r="131" spans="1:12" s="1821" customFormat="1" ht="12" customHeight="1">
      <c r="A131" s="1818"/>
      <c r="C131" s="1819"/>
      <c r="D131" s="1819"/>
      <c r="E131" s="1827"/>
      <c r="F131" s="1895" t="s">
        <v>3175</v>
      </c>
      <c r="I131" s="1822"/>
      <c r="J131" s="1828"/>
      <c r="L131" s="1896"/>
    </row>
    <row r="132" spans="1:12" s="1821" customFormat="1" ht="12" customHeight="1">
      <c r="A132" s="1818"/>
      <c r="C132" s="1836"/>
      <c r="D132" s="1819" t="s">
        <v>3201</v>
      </c>
      <c r="E132" s="1827" t="s">
        <v>2936</v>
      </c>
      <c r="F132" s="1821" t="s">
        <v>3176</v>
      </c>
      <c r="I132" s="1822"/>
      <c r="J132" s="1828"/>
      <c r="L132" s="1826" t="s">
        <v>3702</v>
      </c>
    </row>
    <row r="133" spans="1:12" s="1821" customFormat="1" ht="12" customHeight="1">
      <c r="D133" s="1819"/>
      <c r="E133" s="1842"/>
      <c r="F133" s="1821" t="s">
        <v>3177</v>
      </c>
      <c r="I133" s="1822"/>
      <c r="J133" s="1828"/>
      <c r="L133" s="1826" t="s">
        <v>3702</v>
      </c>
    </row>
    <row r="134" spans="1:12" s="1821" customFormat="1" ht="12" customHeight="1">
      <c r="D134" s="1819"/>
      <c r="E134" s="1842"/>
      <c r="F134" s="1895" t="s">
        <v>3178</v>
      </c>
      <c r="I134" s="1822"/>
      <c r="J134" s="1828"/>
    </row>
    <row r="135" spans="1:12" s="1821" customFormat="1" ht="12" customHeight="1">
      <c r="C135" s="1836"/>
      <c r="D135" s="1819" t="s">
        <v>3050</v>
      </c>
      <c r="E135" s="1827" t="s">
        <v>2937</v>
      </c>
      <c r="F135" s="1821" t="s">
        <v>3179</v>
      </c>
      <c r="I135" s="1822"/>
      <c r="J135" s="1828"/>
      <c r="L135" s="1826" t="s">
        <v>3705</v>
      </c>
    </row>
    <row r="136" spans="1:12" s="1821" customFormat="1" ht="21.75" customHeight="1">
      <c r="A136" s="1818"/>
      <c r="B136" s="1819"/>
      <c r="C136" s="1819"/>
      <c r="D136" s="1819"/>
      <c r="E136" s="1842"/>
      <c r="F136" s="1837" t="s">
        <v>3431</v>
      </c>
      <c r="G136" s="1837"/>
      <c r="H136" s="1837"/>
      <c r="I136" s="1822"/>
      <c r="J136" s="1828"/>
      <c r="L136" s="1826" t="s">
        <v>3705</v>
      </c>
    </row>
    <row r="137" spans="1:12" s="1821" customFormat="1" ht="12" customHeight="1">
      <c r="A137" s="1833">
        <v>28</v>
      </c>
      <c r="B137" s="1870" t="s">
        <v>3200</v>
      </c>
      <c r="C137" s="1870"/>
      <c r="D137" s="1897"/>
      <c r="E137" s="1825" t="s">
        <v>2938</v>
      </c>
      <c r="F137" s="1835" t="s">
        <v>3116</v>
      </c>
      <c r="G137" s="1835"/>
      <c r="H137" s="1835"/>
      <c r="I137" s="1847"/>
      <c r="J137" s="1848"/>
      <c r="K137" s="1849"/>
      <c r="L137" s="1826" t="s">
        <v>3702</v>
      </c>
    </row>
    <row r="138" spans="1:12" s="1821" customFormat="1" ht="12" customHeight="1">
      <c r="A138" s="1875"/>
      <c r="B138" s="1871"/>
      <c r="C138" s="1871"/>
      <c r="D138" s="1861"/>
      <c r="E138" s="1827" t="s">
        <v>2936</v>
      </c>
      <c r="F138" s="1862" t="s">
        <v>3433</v>
      </c>
      <c r="G138" s="1862"/>
      <c r="H138" s="1862"/>
      <c r="I138" s="1863"/>
      <c r="J138" s="1864"/>
      <c r="K138" s="1862"/>
      <c r="L138" s="1826" t="s">
        <v>3702</v>
      </c>
    </row>
    <row r="139" spans="1:12" s="1821" customFormat="1" ht="12" customHeight="1">
      <c r="A139" s="1833">
        <v>29</v>
      </c>
      <c r="B139" s="1870" t="s">
        <v>3432</v>
      </c>
      <c r="C139" s="1870"/>
      <c r="D139" s="1834" t="s">
        <v>3075</v>
      </c>
      <c r="E139" s="1825" t="s">
        <v>2938</v>
      </c>
      <c r="F139" s="1891" t="s">
        <v>3618</v>
      </c>
      <c r="G139" s="1835"/>
      <c r="H139" s="1835"/>
      <c r="I139" s="1847"/>
      <c r="J139" s="1848"/>
      <c r="K139" s="1849"/>
      <c r="L139" s="1826" t="s">
        <v>3702</v>
      </c>
    </row>
    <row r="140" spans="1:12" s="1821" customFormat="1" ht="12" customHeight="1">
      <c r="A140" s="1818"/>
      <c r="B140" s="1871"/>
      <c r="C140" s="1871"/>
      <c r="E140" s="1842"/>
      <c r="F140" s="1821" t="s">
        <v>3434</v>
      </c>
      <c r="I140" s="1822"/>
      <c r="J140" s="1828"/>
      <c r="L140" s="1826" t="s">
        <v>3702</v>
      </c>
    </row>
    <row r="141" spans="1:12" s="1821" customFormat="1" ht="12" customHeight="1">
      <c r="A141" s="1818"/>
      <c r="B141" s="1898"/>
      <c r="C141" s="1898"/>
      <c r="E141" s="1842"/>
      <c r="F141" s="1821" t="s">
        <v>3435</v>
      </c>
      <c r="I141" s="1822"/>
      <c r="J141" s="1828"/>
      <c r="L141" s="1826" t="s">
        <v>3702</v>
      </c>
    </row>
    <row r="142" spans="1:12" s="1821" customFormat="1" ht="12" customHeight="1">
      <c r="A142" s="1818"/>
      <c r="B142" s="1898"/>
      <c r="E142" s="1842"/>
      <c r="F142" s="1821" t="s">
        <v>3436</v>
      </c>
      <c r="I142" s="1822"/>
      <c r="J142" s="1828"/>
      <c r="L142" s="1826" t="s">
        <v>3702</v>
      </c>
    </row>
    <row r="143" spans="1:12" s="1821" customFormat="1" ht="12" customHeight="1">
      <c r="A143" s="1818"/>
      <c r="B143" s="1898"/>
      <c r="C143" s="1819"/>
      <c r="D143" s="1818"/>
      <c r="E143" s="1842"/>
      <c r="F143" s="1821" t="s">
        <v>3437</v>
      </c>
      <c r="I143" s="1822"/>
      <c r="J143" s="1828"/>
      <c r="L143" s="1826" t="s">
        <v>3702</v>
      </c>
    </row>
    <row r="144" spans="1:12" s="1821" customFormat="1" ht="12" customHeight="1">
      <c r="A144" s="1818"/>
      <c r="C144" s="1836"/>
      <c r="E144" s="1842"/>
      <c r="F144" s="1821" t="s">
        <v>3438</v>
      </c>
      <c r="I144" s="1822"/>
      <c r="J144" s="1828"/>
      <c r="L144" s="1826" t="s">
        <v>3702</v>
      </c>
    </row>
    <row r="145" spans="1:12" s="1821" customFormat="1" ht="12" customHeight="1">
      <c r="A145" s="1818"/>
      <c r="C145" s="1819"/>
      <c r="D145" s="1818"/>
      <c r="E145" s="1842"/>
      <c r="F145" s="1821" t="s">
        <v>3439</v>
      </c>
      <c r="I145" s="1822"/>
      <c r="J145" s="1828"/>
      <c r="L145" s="1826" t="s">
        <v>3702</v>
      </c>
    </row>
    <row r="146" spans="1:12" s="1821" customFormat="1" ht="12" customHeight="1">
      <c r="A146" s="1818"/>
      <c r="D146" s="1819" t="s">
        <v>3050</v>
      </c>
      <c r="E146" s="1827" t="s">
        <v>2936</v>
      </c>
      <c r="F146" s="1821" t="s">
        <v>3440</v>
      </c>
      <c r="I146" s="1822"/>
      <c r="J146" s="1828"/>
      <c r="L146" s="1826" t="s">
        <v>3702</v>
      </c>
    </row>
    <row r="147" spans="1:12" s="1821" customFormat="1" ht="12" customHeight="1">
      <c r="A147" s="1818"/>
      <c r="B147" s="1819"/>
      <c r="C147" s="1819"/>
      <c r="D147" s="1818" t="s">
        <v>3078</v>
      </c>
      <c r="E147" s="1827" t="s">
        <v>2937</v>
      </c>
      <c r="F147" s="1821" t="s">
        <v>3441</v>
      </c>
      <c r="I147" s="1822"/>
      <c r="J147" s="1828"/>
      <c r="L147" s="1826" t="s">
        <v>3702</v>
      </c>
    </row>
    <row r="148" spans="1:12" s="1821" customFormat="1" ht="12" customHeight="1">
      <c r="A148" s="1818"/>
      <c r="B148" s="1819"/>
      <c r="C148" s="1819"/>
      <c r="D148" s="1819"/>
      <c r="E148" s="1842"/>
      <c r="F148" s="1821" t="s">
        <v>3442</v>
      </c>
      <c r="I148" s="1822"/>
      <c r="J148" s="1828"/>
      <c r="L148" s="1826" t="s">
        <v>3702</v>
      </c>
    </row>
    <row r="149" spans="1:12" s="1821" customFormat="1" ht="12" customHeight="1">
      <c r="A149" s="1833">
        <v>30</v>
      </c>
      <c r="B149" s="1870" t="s">
        <v>3458</v>
      </c>
      <c r="C149" s="1870"/>
      <c r="D149" s="1834" t="s">
        <v>3075</v>
      </c>
      <c r="E149" s="1825" t="s">
        <v>2938</v>
      </c>
      <c r="F149" s="1835" t="s">
        <v>3456</v>
      </c>
      <c r="G149" s="1835"/>
      <c r="H149" s="1835"/>
      <c r="I149" s="1847"/>
      <c r="J149" s="1848"/>
      <c r="K149" s="1849"/>
      <c r="L149" s="1826" t="s">
        <v>3702</v>
      </c>
    </row>
    <row r="150" spans="1:12" s="1821" customFormat="1">
      <c r="A150" s="1818"/>
      <c r="B150" s="1871"/>
      <c r="C150" s="1871"/>
      <c r="D150" s="1819"/>
      <c r="E150" s="1827"/>
      <c r="F150" s="1877" t="s">
        <v>3457</v>
      </c>
      <c r="G150" s="1877"/>
      <c r="H150" s="1877"/>
      <c r="I150" s="1877"/>
      <c r="J150" s="1877"/>
      <c r="K150" s="1893"/>
      <c r="L150" s="1826" t="s">
        <v>3702</v>
      </c>
    </row>
    <row r="151" spans="1:12" s="1821" customFormat="1">
      <c r="A151" s="1818"/>
      <c r="C151" s="1836"/>
      <c r="D151" s="1819" t="s">
        <v>3050</v>
      </c>
      <c r="E151" s="1827" t="s">
        <v>2936</v>
      </c>
      <c r="F151" s="1879" t="s">
        <v>3459</v>
      </c>
      <c r="G151" s="1880"/>
      <c r="H151" s="1880"/>
      <c r="I151" s="1880"/>
      <c r="J151" s="1880"/>
      <c r="K151" s="1881"/>
      <c r="L151" s="1826" t="s">
        <v>3702</v>
      </c>
    </row>
    <row r="152" spans="1:12" s="1821" customFormat="1" ht="12" customHeight="1">
      <c r="A152" s="1833">
        <v>31</v>
      </c>
      <c r="B152" s="1834" t="s">
        <v>3465</v>
      </c>
      <c r="C152" s="1834"/>
      <c r="D152" s="1834"/>
      <c r="E152" s="1825" t="s">
        <v>2938</v>
      </c>
      <c r="F152" s="1835" t="s">
        <v>3117</v>
      </c>
      <c r="G152" s="1835"/>
      <c r="H152" s="1835"/>
      <c r="I152" s="1847"/>
      <c r="J152" s="1848"/>
      <c r="K152" s="1849"/>
      <c r="L152" s="1826" t="s">
        <v>3702</v>
      </c>
    </row>
    <row r="153" spans="1:12" s="1821" customFormat="1" ht="12" customHeight="1">
      <c r="A153" s="1833">
        <v>32</v>
      </c>
      <c r="B153" s="1834" t="s">
        <v>3464</v>
      </c>
      <c r="C153" s="1834"/>
      <c r="D153" s="1834"/>
      <c r="E153" s="1825" t="s">
        <v>2938</v>
      </c>
      <c r="F153" s="1835" t="s">
        <v>3118</v>
      </c>
      <c r="G153" s="1835"/>
      <c r="H153" s="1835"/>
      <c r="I153" s="1847"/>
      <c r="J153" s="1848"/>
      <c r="K153" s="1849"/>
      <c r="L153" s="1826" t="s">
        <v>3702</v>
      </c>
    </row>
    <row r="154" spans="1:12" s="1821" customFormat="1" ht="12" customHeight="1">
      <c r="A154" s="1818"/>
      <c r="B154" s="1819"/>
      <c r="C154" s="1819"/>
      <c r="D154" s="1819"/>
      <c r="E154" s="1827" t="s">
        <v>2936</v>
      </c>
      <c r="F154" s="1821" t="s">
        <v>3460</v>
      </c>
      <c r="I154" s="1822"/>
      <c r="J154" s="1828"/>
      <c r="L154" s="1826" t="s">
        <v>3702</v>
      </c>
    </row>
    <row r="155" spans="1:12" s="1821" customFormat="1" ht="12" customHeight="1">
      <c r="A155" s="1818"/>
      <c r="B155" s="1819"/>
      <c r="C155" s="1819"/>
      <c r="D155" s="1819"/>
      <c r="E155" s="1827" t="s">
        <v>2937</v>
      </c>
      <c r="F155" s="1821" t="s">
        <v>3461</v>
      </c>
      <c r="I155" s="1822"/>
      <c r="J155" s="1828"/>
      <c r="L155" s="1826" t="s">
        <v>3702</v>
      </c>
    </row>
    <row r="156" spans="1:12" s="1821" customFormat="1" ht="12" customHeight="1">
      <c r="A156" s="1818"/>
      <c r="B156" s="1819"/>
      <c r="C156" s="1819"/>
      <c r="D156" s="1819"/>
      <c r="E156" s="1827" t="s">
        <v>2939</v>
      </c>
      <c r="F156" s="1821" t="s">
        <v>3462</v>
      </c>
      <c r="I156" s="1822"/>
      <c r="J156" s="1828"/>
      <c r="L156" s="1826" t="s">
        <v>3702</v>
      </c>
    </row>
    <row r="157" spans="1:12" s="1821" customFormat="1" ht="12" customHeight="1">
      <c r="A157" s="1818"/>
      <c r="B157" s="1819"/>
      <c r="C157" s="1819"/>
      <c r="D157" s="1819"/>
      <c r="E157" s="1827" t="s">
        <v>2940</v>
      </c>
      <c r="F157" s="1821" t="s">
        <v>3463</v>
      </c>
      <c r="I157" s="1822"/>
      <c r="J157" s="1828"/>
      <c r="L157" s="1826" t="s">
        <v>3702</v>
      </c>
    </row>
    <row r="158" spans="1:12" s="1821" customFormat="1" ht="12" customHeight="1">
      <c r="A158" s="1833">
        <v>33</v>
      </c>
      <c r="B158" s="1834" t="s">
        <v>3466</v>
      </c>
      <c r="C158" s="1834"/>
      <c r="D158" s="1834"/>
      <c r="E158" s="1899" t="s">
        <v>2938</v>
      </c>
      <c r="F158" s="1835" t="s">
        <v>3467</v>
      </c>
      <c r="G158" s="1835"/>
      <c r="H158" s="1835"/>
      <c r="I158" s="1847"/>
      <c r="J158" s="1848"/>
      <c r="K158" s="1849"/>
      <c r="L158" s="1826" t="s">
        <v>3702</v>
      </c>
    </row>
    <row r="159" spans="1:12" s="1821" customFormat="1" ht="11.25" customHeight="1">
      <c r="A159" s="1833">
        <v>34</v>
      </c>
      <c r="B159" s="1870" t="s">
        <v>3468</v>
      </c>
      <c r="C159" s="1870"/>
      <c r="D159" s="1834" t="s">
        <v>3078</v>
      </c>
      <c r="E159" s="1825" t="s">
        <v>2938</v>
      </c>
      <c r="F159" s="1821" t="s">
        <v>3619</v>
      </c>
      <c r="G159" s="1835"/>
      <c r="H159" s="1835"/>
      <c r="I159" s="1847"/>
      <c r="J159" s="1848"/>
      <c r="K159" s="1849"/>
      <c r="L159" s="1826" t="s">
        <v>3702</v>
      </c>
    </row>
    <row r="160" spans="1:12" s="1821" customFormat="1" ht="11.25" customHeight="1">
      <c r="A160" s="1818"/>
      <c r="B160" s="1871"/>
      <c r="C160" s="1871"/>
      <c r="D160" s="1819"/>
      <c r="E160" s="1827" t="s">
        <v>2936</v>
      </c>
      <c r="F160" s="1821" t="s">
        <v>3620</v>
      </c>
      <c r="I160" s="1822"/>
      <c r="J160" s="1828"/>
      <c r="L160" s="1826" t="s">
        <v>3702</v>
      </c>
    </row>
    <row r="161" spans="1:12" s="1821" customFormat="1" ht="11.25" customHeight="1">
      <c r="A161" s="1818"/>
      <c r="B161" s="1900"/>
      <c r="C161" s="1900"/>
      <c r="D161" s="1818"/>
      <c r="E161" s="1827" t="s">
        <v>2937</v>
      </c>
      <c r="F161" s="1821" t="s">
        <v>3621</v>
      </c>
      <c r="I161" s="1822"/>
      <c r="J161" s="1828"/>
      <c r="L161" s="1826" t="s">
        <v>3702</v>
      </c>
    </row>
    <row r="162" spans="1:12" s="1821" customFormat="1" ht="11.25" customHeight="1">
      <c r="A162" s="1818"/>
      <c r="B162" s="1819"/>
      <c r="C162" s="1819"/>
      <c r="D162" s="1819"/>
      <c r="E162" s="1827" t="s">
        <v>2939</v>
      </c>
      <c r="F162" s="1821" t="s">
        <v>3622</v>
      </c>
      <c r="I162" s="1822"/>
      <c r="J162" s="1828"/>
      <c r="L162" s="1826" t="s">
        <v>3702</v>
      </c>
    </row>
    <row r="163" spans="1:12" s="1821" customFormat="1" ht="11.25" customHeight="1">
      <c r="A163" s="1818"/>
      <c r="B163" s="1819"/>
      <c r="C163" s="1819"/>
      <c r="D163" s="1819"/>
      <c r="E163" s="1827" t="s">
        <v>2940</v>
      </c>
      <c r="F163" s="1821" t="s">
        <v>3623</v>
      </c>
      <c r="I163" s="1822"/>
      <c r="J163" s="1828"/>
      <c r="L163" s="1826" t="s">
        <v>3702</v>
      </c>
    </row>
    <row r="164" spans="1:12" s="1821" customFormat="1" ht="11.25" customHeight="1">
      <c r="A164" s="1857"/>
      <c r="B164" s="1858"/>
      <c r="C164" s="1858"/>
      <c r="D164" s="1859"/>
      <c r="E164" s="1852" t="s">
        <v>2941</v>
      </c>
      <c r="F164" s="1859" t="s">
        <v>3624</v>
      </c>
      <c r="G164" s="1859"/>
      <c r="H164" s="1859"/>
      <c r="I164" s="1822"/>
      <c r="J164" s="1828"/>
      <c r="L164" s="1826" t="s">
        <v>3702</v>
      </c>
    </row>
    <row r="165" spans="1:12" s="1821" customFormat="1" ht="11.25" customHeight="1">
      <c r="A165" s="1833">
        <v>35</v>
      </c>
      <c r="B165" s="1870" t="s">
        <v>3469</v>
      </c>
      <c r="C165" s="1834"/>
      <c r="D165" s="1834" t="s">
        <v>3075</v>
      </c>
      <c r="E165" s="1825" t="s">
        <v>2938</v>
      </c>
      <c r="F165" s="1835" t="s">
        <v>3181</v>
      </c>
      <c r="G165" s="1835"/>
      <c r="H165" s="1835"/>
      <c r="I165" s="1847"/>
      <c r="J165" s="1835"/>
      <c r="K165" s="1849"/>
      <c r="L165" s="1826" t="s">
        <v>3702</v>
      </c>
    </row>
    <row r="166" spans="1:12" s="1821" customFormat="1" ht="11.25" customHeight="1">
      <c r="A166" s="1818"/>
      <c r="B166" s="1871"/>
      <c r="C166" s="1819"/>
      <c r="D166" s="1819"/>
      <c r="E166" s="1842"/>
      <c r="F166" s="1821" t="s">
        <v>3182</v>
      </c>
      <c r="I166" s="1822"/>
      <c r="J166" s="1828"/>
      <c r="L166" s="1826" t="s">
        <v>3702</v>
      </c>
    </row>
    <row r="167" spans="1:12" s="1821" customFormat="1" ht="11.25" customHeight="1">
      <c r="A167" s="1818"/>
      <c r="B167" s="1871"/>
      <c r="C167" s="1819"/>
      <c r="D167" s="1819"/>
      <c r="E167" s="1842"/>
      <c r="F167" s="1821" t="s">
        <v>3183</v>
      </c>
      <c r="I167" s="1822"/>
      <c r="J167" s="1828"/>
      <c r="L167" s="1826" t="s">
        <v>3702</v>
      </c>
    </row>
    <row r="168" spans="1:12" s="1821" customFormat="1" ht="11.25" customHeight="1">
      <c r="A168" s="1818"/>
      <c r="B168" s="1819"/>
      <c r="C168" s="1819"/>
      <c r="D168" s="1819"/>
      <c r="E168" s="1842"/>
      <c r="F168" s="1821" t="s">
        <v>3184</v>
      </c>
      <c r="I168" s="1822"/>
      <c r="J168" s="1828"/>
      <c r="L168" s="1826" t="s">
        <v>3702</v>
      </c>
    </row>
    <row r="169" spans="1:12" s="1821" customFormat="1" ht="11.25" customHeight="1">
      <c r="A169" s="1818"/>
      <c r="B169" s="1819"/>
      <c r="C169" s="1819"/>
      <c r="D169" s="1819"/>
      <c r="E169" s="1842"/>
      <c r="F169" s="1821" t="s">
        <v>3185</v>
      </c>
      <c r="I169" s="1822"/>
      <c r="J169" s="1828"/>
      <c r="L169" s="1826" t="s">
        <v>3702</v>
      </c>
    </row>
    <row r="170" spans="1:12" s="1821" customFormat="1" ht="11.25" customHeight="1">
      <c r="A170" s="1818"/>
      <c r="B170" s="1819"/>
      <c r="C170" s="1819"/>
      <c r="D170" s="1819"/>
      <c r="E170" s="1842"/>
      <c r="F170" s="1821" t="s">
        <v>3186</v>
      </c>
      <c r="I170" s="1822"/>
      <c r="J170" s="1828"/>
      <c r="L170" s="1826" t="s">
        <v>3702</v>
      </c>
    </row>
    <row r="171" spans="1:12" s="1821" customFormat="1" ht="11.25" customHeight="1">
      <c r="A171" s="1818"/>
      <c r="C171" s="1836"/>
      <c r="D171" s="1819" t="s">
        <v>3050</v>
      </c>
      <c r="E171" s="1827" t="s">
        <v>2936</v>
      </c>
      <c r="F171" s="1821" t="s">
        <v>3187</v>
      </c>
      <c r="I171" s="1822"/>
      <c r="J171" s="1828"/>
      <c r="L171" s="1826" t="s">
        <v>3702</v>
      </c>
    </row>
    <row r="172" spans="1:12" s="1821" customFormat="1" ht="11.25" customHeight="1">
      <c r="A172" s="1818"/>
      <c r="B172" s="1819"/>
      <c r="C172" s="1819"/>
      <c r="D172" s="1819"/>
      <c r="E172" s="1842"/>
      <c r="F172" s="1821" t="s">
        <v>3188</v>
      </c>
      <c r="I172" s="1822"/>
      <c r="J172" s="1828"/>
      <c r="L172" s="1826" t="s">
        <v>3702</v>
      </c>
    </row>
    <row r="173" spans="1:12" s="1821" customFormat="1" ht="21.75" customHeight="1">
      <c r="A173" s="1833">
        <v>36</v>
      </c>
      <c r="B173" s="1870" t="s">
        <v>3470</v>
      </c>
      <c r="C173" s="1870"/>
      <c r="D173" s="1834" t="s">
        <v>3075</v>
      </c>
      <c r="E173" s="1825" t="s">
        <v>2938</v>
      </c>
      <c r="F173" s="1901" t="s">
        <v>3625</v>
      </c>
      <c r="G173" s="1902"/>
      <c r="H173" s="1902"/>
      <c r="I173" s="1902"/>
      <c r="J173" s="1902"/>
      <c r="K173" s="1903"/>
      <c r="L173" s="1826" t="s">
        <v>3702</v>
      </c>
    </row>
    <row r="174" spans="1:12" s="1821" customFormat="1" ht="11.25" customHeight="1">
      <c r="A174" s="1818"/>
      <c r="B174" s="1871"/>
      <c r="C174" s="1871"/>
      <c r="D174" s="1819"/>
      <c r="E174" s="1827" t="s">
        <v>2936</v>
      </c>
      <c r="F174" s="1904" t="s">
        <v>3626</v>
      </c>
      <c r="G174" s="1904"/>
      <c r="H174" s="1904"/>
      <c r="I174" s="1822"/>
      <c r="J174" s="1828"/>
      <c r="L174" s="1826" t="s">
        <v>3702</v>
      </c>
    </row>
    <row r="175" spans="1:12" s="1821" customFormat="1" ht="11.25" customHeight="1">
      <c r="A175" s="1833">
        <v>37</v>
      </c>
      <c r="B175" s="1870" t="s">
        <v>3471</v>
      </c>
      <c r="C175" s="1870"/>
      <c r="D175" s="1834" t="s">
        <v>3075</v>
      </c>
      <c r="E175" s="1825" t="s">
        <v>2938</v>
      </c>
      <c r="F175" s="1835" t="s">
        <v>495</v>
      </c>
      <c r="G175" s="1835"/>
      <c r="H175" s="1835"/>
      <c r="I175" s="1847"/>
      <c r="J175" s="1848"/>
      <c r="K175" s="1849"/>
      <c r="L175" s="1826" t="s">
        <v>3702</v>
      </c>
    </row>
    <row r="176" spans="1:12" s="1821" customFormat="1" ht="11.25" customHeight="1">
      <c r="A176" s="1818"/>
      <c r="B176" s="1871"/>
      <c r="C176" s="1871"/>
      <c r="D176" s="1819"/>
      <c r="E176" s="1827" t="s">
        <v>2936</v>
      </c>
      <c r="F176" s="1821" t="s">
        <v>449</v>
      </c>
      <c r="I176" s="1822"/>
      <c r="J176" s="1828"/>
      <c r="L176" s="1826" t="s">
        <v>3702</v>
      </c>
    </row>
    <row r="177" spans="1:12" s="1821" customFormat="1" ht="11.25" customHeight="1">
      <c r="A177" s="1818"/>
      <c r="B177" s="1819"/>
      <c r="C177" s="1819"/>
      <c r="D177" s="1819"/>
      <c r="E177" s="1827" t="s">
        <v>2937</v>
      </c>
      <c r="F177" s="1821" t="s">
        <v>3119</v>
      </c>
      <c r="I177" s="1822"/>
      <c r="J177" s="1828"/>
      <c r="L177" s="1826" t="s">
        <v>3702</v>
      </c>
    </row>
    <row r="178" spans="1:12" s="1821" customFormat="1" ht="11.25" customHeight="1">
      <c r="A178" s="1818"/>
      <c r="B178" s="1819"/>
      <c r="C178" s="1819"/>
      <c r="D178" s="1819"/>
      <c r="E178" s="1827" t="s">
        <v>2939</v>
      </c>
      <c r="F178" s="1821" t="s">
        <v>3472</v>
      </c>
      <c r="I178" s="1822"/>
      <c r="J178" s="1828"/>
      <c r="L178" s="1826" t="s">
        <v>3702</v>
      </c>
    </row>
    <row r="179" spans="1:12" s="1821" customFormat="1" ht="11.25" customHeight="1">
      <c r="A179" s="1818"/>
      <c r="C179" s="1836"/>
      <c r="D179" s="1836" t="s">
        <v>3473</v>
      </c>
      <c r="E179" s="1827" t="s">
        <v>2940</v>
      </c>
      <c r="F179" s="1821" t="s">
        <v>3120</v>
      </c>
      <c r="I179" s="1822"/>
      <c r="J179" s="1828"/>
      <c r="L179" s="1826" t="s">
        <v>3702</v>
      </c>
    </row>
    <row r="180" spans="1:12" s="1821" customFormat="1" ht="11.25" customHeight="1">
      <c r="A180" s="1833">
        <v>38</v>
      </c>
      <c r="B180" s="1834" t="s">
        <v>3474</v>
      </c>
      <c r="C180" s="1834"/>
      <c r="D180" s="1905" t="s">
        <v>3473</v>
      </c>
      <c r="E180" s="1825" t="s">
        <v>2938</v>
      </c>
      <c r="F180" s="1835" t="s">
        <v>3475</v>
      </c>
      <c r="G180" s="1835"/>
      <c r="H180" s="1835"/>
      <c r="I180" s="1847"/>
      <c r="J180" s="1848"/>
      <c r="K180" s="1849"/>
      <c r="L180" s="1826" t="s">
        <v>3702</v>
      </c>
    </row>
    <row r="181" spans="1:12" s="1821" customFormat="1" ht="11.25" customHeight="1">
      <c r="A181" s="1818"/>
      <c r="C181" s="1836"/>
      <c r="D181" s="1819" t="s">
        <v>3444</v>
      </c>
      <c r="E181" s="1827" t="s">
        <v>2937</v>
      </c>
      <c r="F181" s="1821" t="s">
        <v>3476</v>
      </c>
      <c r="I181" s="1822"/>
      <c r="J181" s="1828"/>
      <c r="L181" s="1826" t="s">
        <v>3702</v>
      </c>
    </row>
    <row r="182" spans="1:12" s="1821" customFormat="1" ht="11.25" customHeight="1">
      <c r="A182" s="1818"/>
      <c r="C182" s="1836"/>
      <c r="D182" s="1819" t="s">
        <v>3093</v>
      </c>
      <c r="E182" s="1827" t="s">
        <v>2939</v>
      </c>
      <c r="F182" s="1821" t="s">
        <v>3632</v>
      </c>
      <c r="I182" s="1822"/>
      <c r="J182" s="1828"/>
      <c r="L182" s="1826" t="s">
        <v>3702</v>
      </c>
    </row>
    <row r="183" spans="1:12" s="1821" customFormat="1" ht="11.25" customHeight="1">
      <c r="A183" s="1833" t="s">
        <v>3477</v>
      </c>
      <c r="B183" s="1834" t="s">
        <v>3478</v>
      </c>
      <c r="C183" s="1834"/>
      <c r="D183" s="1834"/>
      <c r="E183" s="1825" t="s">
        <v>2938</v>
      </c>
      <c r="F183" s="1835" t="s">
        <v>3630</v>
      </c>
      <c r="G183" s="1835"/>
      <c r="H183" s="1835"/>
      <c r="I183" s="1847"/>
      <c r="J183" s="1848"/>
      <c r="K183" s="1849"/>
      <c r="L183" s="1826" t="s">
        <v>3702</v>
      </c>
    </row>
    <row r="184" spans="1:12" s="1821" customFormat="1" ht="11.25" customHeight="1">
      <c r="A184" s="1875"/>
      <c r="B184" s="1861"/>
      <c r="C184" s="1861"/>
      <c r="D184" s="1819"/>
      <c r="E184" s="1827" t="s">
        <v>2936</v>
      </c>
      <c r="F184" s="1821" t="s">
        <v>3631</v>
      </c>
      <c r="I184" s="1822"/>
      <c r="J184" s="1828"/>
      <c r="L184" s="1826" t="s">
        <v>3702</v>
      </c>
    </row>
    <row r="185" spans="1:12" s="1821" customFormat="1" ht="11.25" customHeight="1">
      <c r="A185" s="1818"/>
      <c r="B185" s="1819"/>
      <c r="C185" s="1819"/>
      <c r="D185" s="1819"/>
      <c r="E185" s="1827" t="s">
        <v>2937</v>
      </c>
      <c r="F185" s="1821" t="s">
        <v>3479</v>
      </c>
      <c r="I185" s="1822"/>
      <c r="L185" s="1826" t="s">
        <v>3702</v>
      </c>
    </row>
    <row r="186" spans="1:12" s="1821" customFormat="1" ht="11.25" customHeight="1">
      <c r="A186" s="1833" t="s">
        <v>3480</v>
      </c>
      <c r="B186" s="1834" t="s">
        <v>3481</v>
      </c>
      <c r="C186" s="1834"/>
      <c r="D186" s="1834"/>
      <c r="E186" s="1899" t="s">
        <v>2938</v>
      </c>
      <c r="F186" s="1835" t="s">
        <v>3482</v>
      </c>
      <c r="G186" s="1835"/>
      <c r="H186" s="1835"/>
      <c r="I186" s="1847"/>
      <c r="J186" s="1848"/>
      <c r="K186" s="1849"/>
      <c r="L186" s="1826" t="s">
        <v>3702</v>
      </c>
    </row>
    <row r="187" spans="1:12" s="1821" customFormat="1" ht="11.25" customHeight="1">
      <c r="A187" s="1833" t="s">
        <v>3483</v>
      </c>
      <c r="B187" s="1834" t="s">
        <v>3484</v>
      </c>
      <c r="C187" s="1834"/>
      <c r="D187" s="1834"/>
      <c r="E187" s="1899" t="s">
        <v>2938</v>
      </c>
      <c r="F187" s="1835" t="s">
        <v>3485</v>
      </c>
      <c r="G187" s="1835"/>
      <c r="H187" s="1835"/>
      <c r="I187" s="1847"/>
      <c r="J187" s="1848"/>
      <c r="K187" s="1849"/>
      <c r="L187" s="1826" t="s">
        <v>3705</v>
      </c>
    </row>
    <row r="188" spans="1:12" s="1821" customFormat="1" ht="11.25" customHeight="1">
      <c r="A188" s="1906" t="s">
        <v>3486</v>
      </c>
      <c r="B188" s="1907" t="s">
        <v>3218</v>
      </c>
      <c r="C188" s="1907"/>
      <c r="D188" s="1907"/>
      <c r="E188" s="1908" t="s">
        <v>3026</v>
      </c>
      <c r="F188" s="1909"/>
      <c r="G188" s="1910" t="s">
        <v>3219</v>
      </c>
      <c r="H188" s="1909"/>
      <c r="I188" s="1909"/>
      <c r="J188" s="1909"/>
      <c r="K188" s="1909"/>
    </row>
    <row r="189" spans="1:12" s="1821" customFormat="1" ht="11.25" customHeight="1">
      <c r="A189" s="1875"/>
      <c r="B189" s="1911" t="s">
        <v>3204</v>
      </c>
      <c r="C189" s="1911"/>
      <c r="D189" s="1912" t="s">
        <v>3205</v>
      </c>
      <c r="E189" s="1913"/>
      <c r="F189" s="1914" t="s">
        <v>3217</v>
      </c>
      <c r="G189" s="1915"/>
      <c r="H189" s="1915"/>
      <c r="I189" s="1915"/>
      <c r="J189" s="1915"/>
      <c r="K189" s="1915"/>
    </row>
    <row r="190" spans="1:12" s="1821" customFormat="1" ht="11.25" customHeight="1">
      <c r="A190" s="1875"/>
      <c r="B190" s="1916"/>
      <c r="C190" s="1917"/>
      <c r="D190" s="1918"/>
      <c r="E190" s="1919" t="s">
        <v>2938</v>
      </c>
      <c r="F190" s="1920"/>
      <c r="G190" s="1920"/>
      <c r="H190" s="1920"/>
      <c r="I190" s="1920"/>
      <c r="J190" s="1920"/>
      <c r="K190" s="1920"/>
      <c r="L190" s="1826" t="s">
        <v>3702</v>
      </c>
    </row>
    <row r="191" spans="1:12" s="1821" customFormat="1" ht="11.25" customHeight="1">
      <c r="A191" s="1818"/>
      <c r="B191" s="1921"/>
      <c r="C191" s="1922"/>
      <c r="D191" s="1923"/>
      <c r="E191" s="1924" t="s">
        <v>2936</v>
      </c>
      <c r="F191" s="1925"/>
      <c r="G191" s="1925"/>
      <c r="H191" s="1925"/>
      <c r="I191" s="1925"/>
      <c r="J191" s="1925"/>
      <c r="K191" s="1925"/>
      <c r="L191" s="1826"/>
    </row>
    <row r="192" spans="1:12" s="1821" customFormat="1" ht="11.25" customHeight="1">
      <c r="A192" s="1818"/>
      <c r="B192" s="1921"/>
      <c r="C192" s="1922"/>
      <c r="D192" s="1923"/>
      <c r="E192" s="1924" t="s">
        <v>2937</v>
      </c>
      <c r="F192" s="1925"/>
      <c r="G192" s="1925"/>
      <c r="H192" s="1925"/>
      <c r="I192" s="1925"/>
      <c r="J192" s="1925"/>
      <c r="K192" s="1925"/>
      <c r="L192" s="1826"/>
    </row>
    <row r="193" spans="1:12" s="1821" customFormat="1" ht="11.25" customHeight="1">
      <c r="A193" s="1818"/>
      <c r="B193" s="1921"/>
      <c r="C193" s="1922"/>
      <c r="D193" s="1923"/>
      <c r="E193" s="1924" t="s">
        <v>2939</v>
      </c>
      <c r="F193" s="1925"/>
      <c r="G193" s="1925"/>
      <c r="H193" s="1925"/>
      <c r="I193" s="1925"/>
      <c r="J193" s="1925"/>
      <c r="K193" s="1925"/>
      <c r="L193" s="1826"/>
    </row>
    <row r="194" spans="1:12" s="1821" customFormat="1" ht="11.25" customHeight="1">
      <c r="A194" s="1818"/>
      <c r="B194" s="1921"/>
      <c r="C194" s="1922"/>
      <c r="D194" s="1923"/>
      <c r="E194" s="1924" t="s">
        <v>2940</v>
      </c>
      <c r="F194" s="1925"/>
      <c r="G194" s="1925"/>
      <c r="H194" s="1925"/>
      <c r="I194" s="1925"/>
      <c r="J194" s="1925"/>
      <c r="K194" s="1925"/>
      <c r="L194" s="1826"/>
    </row>
    <row r="195" spans="1:12" s="1821" customFormat="1" ht="11.25" customHeight="1">
      <c r="A195" s="1818"/>
      <c r="B195" s="1921"/>
      <c r="C195" s="1922"/>
      <c r="D195" s="1923"/>
      <c r="E195" s="1924" t="s">
        <v>2941</v>
      </c>
      <c r="F195" s="1925"/>
      <c r="G195" s="1925"/>
      <c r="H195" s="1925"/>
      <c r="I195" s="1925"/>
      <c r="J195" s="1925"/>
      <c r="K195" s="1925"/>
      <c r="L195" s="1826"/>
    </row>
    <row r="196" spans="1:12" s="1821" customFormat="1" ht="11.25" customHeight="1">
      <c r="A196" s="1818"/>
      <c r="B196" s="1921"/>
      <c r="C196" s="1922"/>
      <c r="D196" s="1923"/>
      <c r="E196" s="1924" t="s">
        <v>2942</v>
      </c>
      <c r="F196" s="1925"/>
      <c r="G196" s="1925"/>
      <c r="H196" s="1925"/>
      <c r="I196" s="1925"/>
      <c r="J196" s="1925"/>
      <c r="K196" s="1925"/>
      <c r="L196" s="1826"/>
    </row>
    <row r="197" spans="1:12" s="1821" customFormat="1" ht="11.25" customHeight="1">
      <c r="A197" s="1818"/>
      <c r="B197" s="1921"/>
      <c r="C197" s="1922"/>
      <c r="D197" s="1923"/>
      <c r="E197" s="1924" t="s">
        <v>3143</v>
      </c>
      <c r="F197" s="1925"/>
      <c r="G197" s="1925"/>
      <c r="H197" s="1925"/>
      <c r="I197" s="1925"/>
      <c r="J197" s="1925"/>
      <c r="K197" s="1925"/>
      <c r="L197" s="1826"/>
    </row>
    <row r="198" spans="1:12" s="1821" customFormat="1" ht="11.25" customHeight="1">
      <c r="A198" s="1818"/>
      <c r="B198" s="1921"/>
      <c r="C198" s="1922"/>
      <c r="D198" s="1923"/>
      <c r="E198" s="1924" t="s">
        <v>3144</v>
      </c>
      <c r="F198" s="1925"/>
      <c r="G198" s="1925"/>
      <c r="H198" s="1925"/>
      <c r="I198" s="1925"/>
      <c r="J198" s="1925"/>
      <c r="K198" s="1925"/>
      <c r="L198" s="1826"/>
    </row>
    <row r="199" spans="1:12" s="1821" customFormat="1" ht="11.25" customHeight="1">
      <c r="A199" s="1818"/>
      <c r="B199" s="1926"/>
      <c r="C199" s="1927"/>
      <c r="D199" s="1928"/>
      <c r="E199" s="1929" t="s">
        <v>3202</v>
      </c>
      <c r="F199" s="1930"/>
      <c r="G199" s="1930"/>
      <c r="H199" s="1930"/>
      <c r="I199" s="1930"/>
      <c r="J199" s="1930"/>
      <c r="K199" s="1930"/>
      <c r="L199" s="1826"/>
    </row>
    <row r="200" spans="1:12" s="1821" customFormat="1" ht="39" customHeight="1">
      <c r="A200" s="1931" t="s">
        <v>3220</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B388"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88" t="str">
        <f>CONCATENATE("PART SIX - PROJECTED REVENUES &amp; EXPENSES","  -  ",'Part I-Project Information'!$O$4," ",'Part I-Project Information'!$F$23,", ",'Part I-Project Information'!F27,", ",'Part I-Project Information'!J28," County")</f>
        <v>PART SIX - PROJECTED REVENUES &amp; EXPENSES  -  2014-051 Macon Gardens, Macon, Bibb County</v>
      </c>
      <c r="B1" s="1289"/>
      <c r="C1" s="1289"/>
      <c r="D1" s="1289"/>
      <c r="E1" s="1289"/>
      <c r="F1" s="1289"/>
      <c r="G1" s="1289"/>
      <c r="H1" s="1289"/>
      <c r="I1" s="1289"/>
      <c r="J1" s="1289"/>
      <c r="K1" s="1289"/>
      <c r="L1" s="1289"/>
      <c r="M1" s="1289"/>
      <c r="N1" s="1289"/>
      <c r="O1" s="1289"/>
      <c r="P1" s="1290"/>
      <c r="T1" s="1407" t="str">
        <f>A1</f>
        <v>PART SIX - PROJECTED REVENUES &amp; EXPENSES  -  2014-051 Macon Gardens, Macon, Bibb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658</v>
      </c>
      <c r="B3" s="5" t="s">
        <v>2521</v>
      </c>
      <c r="C3" s="1"/>
      <c r="E3" s="162" t="s">
        <v>2905</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517</v>
      </c>
      <c r="FB3" s="572" t="s">
        <v>2605</v>
      </c>
      <c r="FC3" s="572" t="s">
        <v>2606</v>
      </c>
      <c r="FD3" s="572" t="s">
        <v>2607</v>
      </c>
      <c r="FE3" s="572" t="s">
        <v>2608</v>
      </c>
      <c r="FF3" s="574"/>
      <c r="FG3" s="574"/>
      <c r="FH3" s="574"/>
      <c r="FI3" s="574"/>
      <c r="FJ3" s="574"/>
      <c r="FK3" s="572" t="s">
        <v>517</v>
      </c>
      <c r="FL3" s="572" t="s">
        <v>2605</v>
      </c>
      <c r="FM3" s="572" t="s">
        <v>2606</v>
      </c>
      <c r="FN3" s="572" t="s">
        <v>2607</v>
      </c>
      <c r="FO3" s="572" t="s">
        <v>2608</v>
      </c>
      <c r="FP3" s="572" t="s">
        <v>517</v>
      </c>
      <c r="FQ3" s="572" t="s">
        <v>2605</v>
      </c>
      <c r="FR3" s="572" t="s">
        <v>2606</v>
      </c>
      <c r="FS3" s="572" t="s">
        <v>2607</v>
      </c>
      <c r="FT3" s="572" t="s">
        <v>2608</v>
      </c>
      <c r="FU3" s="572" t="s">
        <v>517</v>
      </c>
      <c r="FV3" s="572" t="s">
        <v>2605</v>
      </c>
      <c r="FW3" s="572" t="s">
        <v>2606</v>
      </c>
      <c r="FX3" s="572" t="s">
        <v>2607</v>
      </c>
      <c r="FY3" s="572" t="s">
        <v>2608</v>
      </c>
      <c r="FZ3" s="572" t="s">
        <v>517</v>
      </c>
      <c r="GA3" s="572" t="s">
        <v>2605</v>
      </c>
      <c r="GB3" s="572" t="s">
        <v>2606</v>
      </c>
      <c r="GC3" s="572" t="s">
        <v>2607</v>
      </c>
      <c r="GD3" s="572" t="s">
        <v>2608</v>
      </c>
      <c r="GE3" s="572" t="s">
        <v>517</v>
      </c>
      <c r="GF3" s="572" t="s">
        <v>2605</v>
      </c>
      <c r="GG3" s="572" t="s">
        <v>2606</v>
      </c>
      <c r="GH3" s="572" t="s">
        <v>2607</v>
      </c>
      <c r="GI3" s="572" t="s">
        <v>2608</v>
      </c>
      <c r="GJ3" s="572" t="s">
        <v>517</v>
      </c>
      <c r="GK3" s="572" t="s">
        <v>2605</v>
      </c>
      <c r="GL3" s="572" t="s">
        <v>2606</v>
      </c>
      <c r="GM3" s="572" t="s">
        <v>2607</v>
      </c>
      <c r="GN3" s="572" t="s">
        <v>2608</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976</v>
      </c>
      <c r="W4" s="1384" t="s">
        <v>807</v>
      </c>
      <c r="X4" s="1384" t="s">
        <v>808</v>
      </c>
      <c r="Y4" s="1384" t="s">
        <v>809</v>
      </c>
      <c r="Z4" s="1384" t="s">
        <v>810</v>
      </c>
      <c r="AA4" s="1384" t="s">
        <v>977</v>
      </c>
      <c r="AB4" s="1384" t="s">
        <v>2460</v>
      </c>
      <c r="AC4" s="1384" t="s">
        <v>2461</v>
      </c>
      <c r="AD4" s="1384" t="s">
        <v>2462</v>
      </c>
      <c r="AE4" s="1384" t="s">
        <v>2463</v>
      </c>
      <c r="AF4" s="1384" t="s">
        <v>978</v>
      </c>
      <c r="AG4" s="1384" t="s">
        <v>2464</v>
      </c>
      <c r="AH4" s="1384" t="s">
        <v>2465</v>
      </c>
      <c r="AI4" s="1384" t="s">
        <v>2466</v>
      </c>
      <c r="AJ4" s="1384" t="s">
        <v>2467</v>
      </c>
      <c r="AK4" s="1384" t="s">
        <v>132</v>
      </c>
      <c r="AL4" s="1384" t="s">
        <v>2468</v>
      </c>
      <c r="AM4" s="1384" t="s">
        <v>2469</v>
      </c>
      <c r="AN4" s="1384" t="s">
        <v>2470</v>
      </c>
      <c r="AO4" s="1384" t="s">
        <v>1218</v>
      </c>
      <c r="AP4" s="1384" t="s">
        <v>590</v>
      </c>
      <c r="AQ4" s="1384" t="s">
        <v>591</v>
      </c>
      <c r="AR4" s="1384" t="s">
        <v>615</v>
      </c>
      <c r="AS4" s="1384" t="s">
        <v>616</v>
      </c>
      <c r="AT4" s="1384" t="s">
        <v>617</v>
      </c>
      <c r="AU4" s="1384" t="s">
        <v>618</v>
      </c>
      <c r="AV4" s="1384" t="s">
        <v>619</v>
      </c>
      <c r="AW4" s="1384" t="s">
        <v>620</v>
      </c>
      <c r="AX4" s="1384" t="s">
        <v>621</v>
      </c>
      <c r="AY4" s="1384" t="s">
        <v>622</v>
      </c>
      <c r="AZ4" s="1384" t="s">
        <v>623</v>
      </c>
      <c r="BA4" s="1384" t="s">
        <v>624</v>
      </c>
      <c r="BB4" s="1384" t="s">
        <v>988</v>
      </c>
      <c r="BC4" s="1384" t="s">
        <v>989</v>
      </c>
      <c r="BD4" s="1384" t="s">
        <v>990</v>
      </c>
      <c r="BE4" s="1384" t="s">
        <v>529</v>
      </c>
      <c r="BF4" s="1384" t="s">
        <v>530</v>
      </c>
      <c r="BG4" s="1384" t="s">
        <v>531</v>
      </c>
      <c r="BH4" s="1384" t="s">
        <v>532</v>
      </c>
      <c r="BI4" s="1384" t="s">
        <v>533</v>
      </c>
      <c r="BJ4" s="1384" t="s">
        <v>936</v>
      </c>
      <c r="BK4" s="1384" t="s">
        <v>937</v>
      </c>
      <c r="BL4" s="1384" t="s">
        <v>938</v>
      </c>
      <c r="BM4" s="1384" t="s">
        <v>939</v>
      </c>
      <c r="BN4" s="1384" t="s">
        <v>940</v>
      </c>
      <c r="BO4" s="1384" t="s">
        <v>941</v>
      </c>
      <c r="BP4" s="1384" t="s">
        <v>942</v>
      </c>
      <c r="BQ4" s="1384" t="s">
        <v>943</v>
      </c>
      <c r="BR4" s="1384" t="s">
        <v>944</v>
      </c>
      <c r="BS4" s="1384" t="s">
        <v>945</v>
      </c>
      <c r="BT4" s="1384" t="s">
        <v>2595</v>
      </c>
      <c r="BU4" s="1384" t="s">
        <v>2596</v>
      </c>
      <c r="BV4" s="1384" t="s">
        <v>2597</v>
      </c>
      <c r="BW4" s="1384" t="s">
        <v>2598</v>
      </c>
      <c r="BX4" s="1384" t="s">
        <v>2599</v>
      </c>
      <c r="BY4" s="1384" t="s">
        <v>120</v>
      </c>
      <c r="BZ4" s="1384" t="s">
        <v>1221</v>
      </c>
      <c r="CA4" s="1384" t="s">
        <v>1222</v>
      </c>
      <c r="CB4" s="1384" t="s">
        <v>1291</v>
      </c>
      <c r="CC4" s="1384" t="s">
        <v>1292</v>
      </c>
      <c r="CD4" s="1385" t="s">
        <v>135</v>
      </c>
      <c r="CE4" s="1385" t="s">
        <v>1293</v>
      </c>
      <c r="CF4" s="1385" t="s">
        <v>1294</v>
      </c>
      <c r="CG4" s="1385" t="s">
        <v>1295</v>
      </c>
      <c r="CH4" s="1385" t="s">
        <v>1296</v>
      </c>
      <c r="CI4" s="1385" t="s">
        <v>134</v>
      </c>
      <c r="CJ4" s="1385" t="s">
        <v>968</v>
      </c>
      <c r="CK4" s="1385" t="s">
        <v>969</v>
      </c>
      <c r="CL4" s="1385" t="s">
        <v>970</v>
      </c>
      <c r="CM4" s="1385" t="s">
        <v>971</v>
      </c>
      <c r="CN4" s="1385" t="s">
        <v>133</v>
      </c>
      <c r="CO4" s="1385" t="s">
        <v>972</v>
      </c>
      <c r="CP4" s="1385" t="s">
        <v>973</v>
      </c>
      <c r="CQ4" s="1385" t="s">
        <v>974</v>
      </c>
      <c r="CR4" s="1385" t="s">
        <v>975</v>
      </c>
      <c r="CS4" s="1385" t="s">
        <v>864</v>
      </c>
      <c r="CT4" s="1385" t="s">
        <v>865</v>
      </c>
      <c r="CU4" s="1385" t="s">
        <v>866</v>
      </c>
      <c r="CV4" s="1385" t="s">
        <v>867</v>
      </c>
      <c r="CW4" s="1385" t="s">
        <v>868</v>
      </c>
      <c r="CX4" s="1385" t="s">
        <v>1015</v>
      </c>
      <c r="CY4" s="1385" t="s">
        <v>1016</v>
      </c>
      <c r="CZ4" s="1385" t="s">
        <v>1017</v>
      </c>
      <c r="DA4" s="1385" t="s">
        <v>1018</v>
      </c>
      <c r="DB4" s="1385" t="s">
        <v>2594</v>
      </c>
      <c r="DC4" s="1385" t="s">
        <v>1528</v>
      </c>
      <c r="DD4" s="1385" t="s">
        <v>1529</v>
      </c>
      <c r="DE4" s="1385" t="s">
        <v>1530</v>
      </c>
      <c r="DF4" s="1385" t="s">
        <v>1531</v>
      </c>
      <c r="DG4" s="1385" t="s">
        <v>1532</v>
      </c>
      <c r="DH4" s="1385" t="s">
        <v>459</v>
      </c>
      <c r="DI4" s="1385" t="s">
        <v>460</v>
      </c>
      <c r="DJ4" s="1385" t="s">
        <v>461</v>
      </c>
      <c r="DK4" s="1385" t="s">
        <v>462</v>
      </c>
      <c r="DL4" s="1385" t="s">
        <v>463</v>
      </c>
      <c r="DM4" s="1385" t="s">
        <v>18</v>
      </c>
      <c r="DN4" s="1385" t="s">
        <v>19</v>
      </c>
      <c r="DO4" s="1385" t="s">
        <v>20</v>
      </c>
      <c r="DP4" s="1385" t="s">
        <v>21</v>
      </c>
      <c r="DQ4" s="1385" t="s">
        <v>22</v>
      </c>
      <c r="DR4" s="1385" t="s">
        <v>234</v>
      </c>
      <c r="DS4" s="1385" t="s">
        <v>235</v>
      </c>
      <c r="DT4" s="1385" t="s">
        <v>236</v>
      </c>
      <c r="DU4" s="1385" t="s">
        <v>1939</v>
      </c>
      <c r="DV4" s="1385" t="s">
        <v>1940</v>
      </c>
      <c r="DW4" s="1385" t="s">
        <v>1941</v>
      </c>
      <c r="DX4" s="1385" t="s">
        <v>631</v>
      </c>
      <c r="DY4" s="1385" t="s">
        <v>632</v>
      </c>
      <c r="DZ4" s="1385" t="s">
        <v>633</v>
      </c>
      <c r="EA4" s="1385" t="s">
        <v>634</v>
      </c>
      <c r="EB4" s="1385" t="s">
        <v>23</v>
      </c>
      <c r="EC4" s="1385" t="s">
        <v>24</v>
      </c>
      <c r="ED4" s="1385" t="s">
        <v>25</v>
      </c>
      <c r="EE4" s="1385" t="s">
        <v>26</v>
      </c>
      <c r="EF4" s="1385" t="s">
        <v>27</v>
      </c>
      <c r="EG4" s="1385" t="s">
        <v>528</v>
      </c>
      <c r="EH4" s="1385" t="s">
        <v>455</v>
      </c>
      <c r="EI4" s="1385" t="s">
        <v>456</v>
      </c>
      <c r="EJ4" s="1385" t="s">
        <v>457</v>
      </c>
      <c r="EK4" s="1385" t="s">
        <v>458</v>
      </c>
      <c r="EL4" s="1385" t="s">
        <v>2352</v>
      </c>
      <c r="EM4" s="1385" t="s">
        <v>2353</v>
      </c>
      <c r="EN4" s="1385" t="s">
        <v>2354</v>
      </c>
      <c r="EO4" s="1385" t="s">
        <v>1579</v>
      </c>
      <c r="EP4" s="1385" t="s">
        <v>1580</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1736</v>
      </c>
      <c r="GP4" s="1385" t="s">
        <v>2697</v>
      </c>
      <c r="GQ4" s="1385" t="s">
        <v>2698</v>
      </c>
      <c r="GR4" s="1385" t="s">
        <v>406</v>
      </c>
      <c r="GS4" s="1385" t="s">
        <v>407</v>
      </c>
      <c r="GT4" s="1385" t="s">
        <v>408</v>
      </c>
      <c r="GU4" s="1385" t="s">
        <v>409</v>
      </c>
      <c r="GV4" s="1385" t="s">
        <v>410</v>
      </c>
      <c r="GW4" s="1385" t="s">
        <v>411</v>
      </c>
      <c r="GX4" s="1385" t="s">
        <v>412</v>
      </c>
      <c r="GY4" s="1385" t="s">
        <v>211</v>
      </c>
      <c r="GZ4" s="1385" t="s">
        <v>212</v>
      </c>
      <c r="HA4" s="1385" t="s">
        <v>213</v>
      </c>
      <c r="HB4" s="1385" t="s">
        <v>214</v>
      </c>
      <c r="HC4" s="1385" t="s">
        <v>215</v>
      </c>
      <c r="HD4" s="1385" t="s">
        <v>216</v>
      </c>
      <c r="HE4" s="1385" t="s">
        <v>217</v>
      </c>
      <c r="HF4" s="1385" t="s">
        <v>218</v>
      </c>
      <c r="HG4" s="1385" t="s">
        <v>219</v>
      </c>
      <c r="HH4" s="1385" t="s">
        <v>220</v>
      </c>
      <c r="HI4" s="1385" t="s">
        <v>221</v>
      </c>
      <c r="HJ4" s="1385" t="s">
        <v>222</v>
      </c>
      <c r="HK4" s="1385" t="s">
        <v>223</v>
      </c>
      <c r="HL4" s="1385" t="s">
        <v>224</v>
      </c>
      <c r="HM4" s="1385" t="s">
        <v>225</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40"/>
      <c r="N5" s="1163" t="s">
        <v>614</v>
      </c>
      <c r="P5" s="1157" t="s">
        <v>1098</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41" t="s">
        <v>3705</v>
      </c>
      <c r="J6" s="1155" t="s">
        <v>2568</v>
      </c>
      <c r="N6" s="1403" t="str">
        <f>'Part I-Project Information'!$O$29</f>
        <v>Macon</v>
      </c>
      <c r="O6" s="1403"/>
      <c r="P6" s="516">
        <f>VLOOKUP('Part I-Project Information'!$O$29,'DCA Underwriting Assumptions'!$C$82:$D$192,2)</f>
        <v>49800</v>
      </c>
      <c r="Q6" s="568"/>
      <c r="R6" s="1405" t="s">
        <v>2931</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2" t="str">
        <f>IF(A48&gt;0,"Finish!","")</f>
        <v/>
      </c>
      <c r="B7" s="5"/>
      <c r="C7" s="1"/>
      <c r="D7" s="5"/>
      <c r="E7" s="1"/>
      <c r="F7" s="1"/>
      <c r="G7" s="1"/>
      <c r="H7" s="1"/>
      <c r="I7" s="1"/>
      <c r="J7" s="1155" t="s">
        <v>2569</v>
      </c>
      <c r="K7" s="1"/>
      <c r="L7" s="1"/>
      <c r="M7" s="1"/>
      <c r="N7" s="37"/>
      <c r="O7" s="37"/>
      <c r="P7" s="1180"/>
      <c r="Q7" s="1180"/>
      <c r="R7" s="604"/>
      <c r="S7" s="1177" t="s">
        <v>2928</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2"/>
      <c r="B8" s="191" t="s">
        <v>1578</v>
      </c>
      <c r="C8" s="1155" t="s">
        <v>180</v>
      </c>
      <c r="D8" s="1155" t="s">
        <v>579</v>
      </c>
      <c r="E8" s="1155" t="s">
        <v>1576</v>
      </c>
      <c r="F8" s="1155" t="s">
        <v>1576</v>
      </c>
      <c r="G8" s="1155" t="s">
        <v>2546</v>
      </c>
      <c r="H8" s="1155" t="s">
        <v>2544</v>
      </c>
      <c r="I8" s="1155" t="s">
        <v>853</v>
      </c>
      <c r="J8" s="1155" t="s">
        <v>2570</v>
      </c>
      <c r="K8" s="1401" t="s">
        <v>148</v>
      </c>
      <c r="L8" s="1401"/>
      <c r="M8" s="1155" t="s">
        <v>2522</v>
      </c>
      <c r="N8" s="1155" t="s">
        <v>566</v>
      </c>
      <c r="O8" s="1155" t="s">
        <v>403</v>
      </c>
      <c r="P8" s="1404" t="s">
        <v>1105</v>
      </c>
      <c r="Q8" s="1404"/>
      <c r="R8" s="1156" t="s">
        <v>2927</v>
      </c>
      <c r="S8" s="1156" t="s">
        <v>2929</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1559</v>
      </c>
      <c r="EW8" s="575" t="s">
        <v>2605</v>
      </c>
      <c r="EX8" s="575" t="s">
        <v>2606</v>
      </c>
      <c r="EY8" s="575" t="s">
        <v>2607</v>
      </c>
      <c r="EZ8" s="575" t="s">
        <v>2608</v>
      </c>
      <c r="FA8" s="1385" t="s">
        <v>2666</v>
      </c>
      <c r="FB8" s="1385" t="s">
        <v>2666</v>
      </c>
      <c r="FC8" s="1385" t="s">
        <v>2666</v>
      </c>
      <c r="FD8" s="1385" t="s">
        <v>2666</v>
      </c>
      <c r="FE8" s="1385" t="s">
        <v>2666</v>
      </c>
      <c r="FF8" s="575" t="s">
        <v>517</v>
      </c>
      <c r="FG8" s="575" t="s">
        <v>2605</v>
      </c>
      <c r="FH8" s="575" t="s">
        <v>2606</v>
      </c>
      <c r="FI8" s="575" t="s">
        <v>2607</v>
      </c>
      <c r="FJ8" s="575" t="s">
        <v>2608</v>
      </c>
      <c r="FK8" s="1385" t="s">
        <v>2668</v>
      </c>
      <c r="FL8" s="1385" t="s">
        <v>2668</v>
      </c>
      <c r="FM8" s="1385" t="s">
        <v>2668</v>
      </c>
      <c r="FN8" s="1385" t="s">
        <v>2668</v>
      </c>
      <c r="FO8" s="1385" t="s">
        <v>2668</v>
      </c>
      <c r="FP8" s="1385" t="s">
        <v>378</v>
      </c>
      <c r="FQ8" s="1385" t="s">
        <v>378</v>
      </c>
      <c r="FR8" s="1385" t="s">
        <v>378</v>
      </c>
      <c r="FS8" s="1385" t="s">
        <v>378</v>
      </c>
      <c r="FT8" s="1385" t="s">
        <v>378</v>
      </c>
      <c r="FU8" s="1385" t="s">
        <v>379</v>
      </c>
      <c r="FV8" s="1385" t="s">
        <v>379</v>
      </c>
      <c r="FW8" s="1385" t="s">
        <v>379</v>
      </c>
      <c r="FX8" s="1385" t="s">
        <v>379</v>
      </c>
      <c r="FY8" s="1385" t="s">
        <v>379</v>
      </c>
      <c r="FZ8" s="1385" t="s">
        <v>380</v>
      </c>
      <c r="GA8" s="1385" t="s">
        <v>380</v>
      </c>
      <c r="GB8" s="1385" t="s">
        <v>380</v>
      </c>
      <c r="GC8" s="1385" t="s">
        <v>380</v>
      </c>
      <c r="GD8" s="1385" t="s">
        <v>380</v>
      </c>
      <c r="GE8" s="1385" t="s">
        <v>381</v>
      </c>
      <c r="GF8" s="1385" t="s">
        <v>381</v>
      </c>
      <c r="GG8" s="1385" t="s">
        <v>381</v>
      </c>
      <c r="GH8" s="1385" t="s">
        <v>381</v>
      </c>
      <c r="GI8" s="1385" t="s">
        <v>381</v>
      </c>
      <c r="GJ8" s="1385" t="s">
        <v>1558</v>
      </c>
      <c r="GK8" s="1385" t="s">
        <v>1558</v>
      </c>
      <c r="GL8" s="1385" t="s">
        <v>1558</v>
      </c>
      <c r="GM8" s="1385" t="s">
        <v>1558</v>
      </c>
      <c r="GN8" s="1385" t="s">
        <v>1558</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2"/>
      <c r="B9" s="191" t="s">
        <v>1383</v>
      </c>
      <c r="C9" s="1155" t="s">
        <v>179</v>
      </c>
      <c r="D9" s="1155" t="s">
        <v>181</v>
      </c>
      <c r="E9" s="1155" t="s">
        <v>1577</v>
      </c>
      <c r="F9" s="1155" t="s">
        <v>1360</v>
      </c>
      <c r="G9" s="1155" t="s">
        <v>1361</v>
      </c>
      <c r="H9" s="1155" t="s">
        <v>2545</v>
      </c>
      <c r="I9" s="1155" t="s">
        <v>854</v>
      </c>
      <c r="J9" s="567" t="s">
        <v>369</v>
      </c>
      <c r="K9" s="1155" t="s">
        <v>1637</v>
      </c>
      <c r="L9" s="1155" t="s">
        <v>573</v>
      </c>
      <c r="M9" s="1155" t="s">
        <v>1576</v>
      </c>
      <c r="N9" s="1155" t="s">
        <v>1383</v>
      </c>
      <c r="O9" s="1155" t="s">
        <v>404</v>
      </c>
      <c r="P9" s="1156" t="s">
        <v>1103</v>
      </c>
      <c r="Q9" s="1156" t="s">
        <v>1104</v>
      </c>
      <c r="R9" s="1156" t="s">
        <v>1578</v>
      </c>
      <c r="S9" s="1156" t="s">
        <v>2930</v>
      </c>
      <c r="T9" s="1275" t="s">
        <v>1975</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2665</v>
      </c>
      <c r="EX9" s="575" t="s">
        <v>2665</v>
      </c>
      <c r="EY9" s="575" t="s">
        <v>2665</v>
      </c>
      <c r="EZ9" s="575" t="s">
        <v>2665</v>
      </c>
      <c r="FA9" s="1385"/>
      <c r="FB9" s="1385"/>
      <c r="FC9" s="1385"/>
      <c r="FD9" s="1385"/>
      <c r="FE9" s="1385"/>
      <c r="FF9" s="575" t="s">
        <v>2667</v>
      </c>
      <c r="FG9" s="575" t="s">
        <v>2667</v>
      </c>
      <c r="FH9" s="575" t="s">
        <v>2667</v>
      </c>
      <c r="FI9" s="575" t="s">
        <v>2667</v>
      </c>
      <c r="FJ9" s="575" t="s">
        <v>2667</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1219</v>
      </c>
      <c r="C10" s="1743">
        <v>1</v>
      </c>
      <c r="D10" s="1744">
        <v>1</v>
      </c>
      <c r="E10" s="1745">
        <v>39</v>
      </c>
      <c r="F10" s="1745">
        <v>570</v>
      </c>
      <c r="G10" s="1745">
        <v>594</v>
      </c>
      <c r="H10" s="1745">
        <v>594</v>
      </c>
      <c r="I10" s="1745">
        <v>119</v>
      </c>
      <c r="J10" s="1746" t="s">
        <v>3704</v>
      </c>
      <c r="K10" s="197">
        <f>MAX(0,H10-I10)</f>
        <v>475</v>
      </c>
      <c r="L10" s="197">
        <f t="shared" ref="L10:L47" si="0">MAX(0,E10*K10)</f>
        <v>18525</v>
      </c>
      <c r="M10" s="1747" t="s">
        <v>3702</v>
      </c>
      <c r="N10" s="1747" t="s">
        <v>2788</v>
      </c>
      <c r="O10" s="1747" t="s">
        <v>3701</v>
      </c>
      <c r="P10" s="517">
        <f>IF(H10="","",H10*12/0.3)</f>
        <v>23760</v>
      </c>
      <c r="Q10" s="518">
        <f>IF(H10="","",P10/($P$6*VLOOKUP(C10,'DCA Underwriting Assumptions'!$J$82:$K$87,2,FALSE)))</f>
        <v>0.636144578313253</v>
      </c>
      <c r="R10" s="606"/>
      <c r="S10" s="518"/>
      <c r="T10" s="1748"/>
      <c r="U10" s="1749"/>
      <c r="V10" s="566" t="str">
        <f t="shared" ref="V10:V47" si="1">IF(AND(C10="Efficiency",B10="60% AMI",NOT(M10="Common")),E10,"")</f>
        <v/>
      </c>
      <c r="W10" s="566">
        <f t="shared" ref="W10:W47" si="2">IF(AND(C10=1,B10="60% AMI",NOT(M10="Common")),E10,"")</f>
        <v>39</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t="str">
        <f t="shared" ref="AB10:AB47" si="7">IF(AND(C10=1,B10="50% AMI",NOT(M10="Common")),E10,"")</f>
        <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f>IF(OR(AND($C10=1,NOT($J10=""),NOT($J10=0),NOT($J10="PHA Oper Sub"),$B10="60% AMI",NOT($M10="Common")),AND($C10=1,NOT($J10=""),NOT($J10=0),NOT($J10="PHA Oper Sub"),$B10="HOME 60% AMI",NOT($M10="Common"))),$E10,"")</f>
        <v>39</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f t="shared" ref="BZ10:BZ47" si="27">IF(OR(AND(C10=1,B10="60% AMI",NOT(M10="Common")),AND(C10=1,B10="HOME 60% AMI",NOT(M10="Common"))),E10*F10,"")</f>
        <v>22230</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t="str">
        <f t="shared" ref="CE10:CE47" si="32">IF(OR(AND(C10=1,B10="50% AMI",NOT(M10="Common")),AND(C10=1,B10="HOME 50% AMI",NOT(M10="Common"))),E10*F10,"")</f>
        <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f t="shared" ref="CT10:CT47" si="47">IF(AND(C10=1,NOT(J10=""),NOT($J10=0),NOT(M10="Common")),E10*F10,"")</f>
        <v>22230</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t="str">
        <f t="shared" ref="DD10:DD47" si="57">IF(AND($C10=1, $O10="New Construction",NOT($B10="Unrestricted"),NOT($B10="NSP 120% AMI"),NOT($B10="N/A-CS"),NOT($M10="Common")),$E10,"")</f>
        <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f t="shared" ref="DS10:DS47" si="72">IF(AND($C10=1, $O10="Acquisition/Rehab",NOT($B10="Unrestricted"),NOT($B10="NSP 120% AMI"),NOT($B10="N/A-CS"),NOT($M10="Common")),$E10,"")</f>
        <v>39</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39</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f t="shared" ref="FV10:FV47" si="127">IF(AND($C10=1, $N10="1-Story"),$E10,"")</f>
        <v>39</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1219</v>
      </c>
      <c r="C11" s="1751">
        <v>1</v>
      </c>
      <c r="D11" s="1752">
        <v>1</v>
      </c>
      <c r="E11" s="1753">
        <v>16</v>
      </c>
      <c r="F11" s="1753">
        <v>570</v>
      </c>
      <c r="G11" s="1753">
        <v>594</v>
      </c>
      <c r="H11" s="1753">
        <v>594</v>
      </c>
      <c r="I11" s="1753">
        <v>119</v>
      </c>
      <c r="J11" s="1754" t="s">
        <v>3704</v>
      </c>
      <c r="K11" s="198">
        <f t="shared" ref="K11:K27" si="172">MAX(0,H11-I11)</f>
        <v>475</v>
      </c>
      <c r="L11" s="198">
        <f t="shared" si="0"/>
        <v>7600</v>
      </c>
      <c r="M11" s="1755" t="s">
        <v>3702</v>
      </c>
      <c r="N11" s="1755" t="s">
        <v>2788</v>
      </c>
      <c r="O11" s="1755" t="s">
        <v>3701</v>
      </c>
      <c r="P11" s="517">
        <f>IF(H11="","",H11*12/0.3)</f>
        <v>23760</v>
      </c>
      <c r="Q11" s="518">
        <f>IF(H11="","",P11/($P$6*VLOOKUP(C11,'DCA Underwriting Assumptions'!$J$82:$K$87,2,FALSE)))</f>
        <v>0.636144578313253</v>
      </c>
      <c r="R11" s="606"/>
      <c r="S11" s="518"/>
      <c r="T11" s="1756"/>
      <c r="U11" s="1757"/>
      <c r="V11" s="566" t="str">
        <f t="shared" si="1"/>
        <v/>
      </c>
      <c r="W11" s="566">
        <f t="shared" si="2"/>
        <v>16</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f t="shared" ref="BA11:BA47" si="184">IF(OR(AND($C11=1,NOT($J11=""),NOT($J11=0),NOT($J11="PHA Oper Sub"),$B11="60% AMI",NOT($M11="Common")),AND($C11=1,NOT($J11=""),NOT($J11=0),NOT($J11="PHA Oper Sub"),$B11="HOME 60% AMI",NOT($M11="Common"))),$E11,"")</f>
        <v>16</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9120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f t="shared" si="47"/>
        <v>9120</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t="str">
        <f t="shared" si="57"/>
        <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f t="shared" si="72"/>
        <v>16</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16</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f t="shared" si="127"/>
        <v>16</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v>
      </c>
      <c r="C12" s="1751">
        <v>2</v>
      </c>
      <c r="D12" s="1752">
        <v>1</v>
      </c>
      <c r="E12" s="1753">
        <v>47</v>
      </c>
      <c r="F12" s="1753">
        <v>857</v>
      </c>
      <c r="G12" s="1753">
        <v>665</v>
      </c>
      <c r="H12" s="1753">
        <v>665</v>
      </c>
      <c r="I12" s="1753">
        <v>148</v>
      </c>
      <c r="J12" s="1754" t="s">
        <v>3704</v>
      </c>
      <c r="K12" s="198">
        <f t="shared" si="172"/>
        <v>517</v>
      </c>
      <c r="L12" s="198">
        <f t="shared" si="0"/>
        <v>24299</v>
      </c>
      <c r="M12" s="1755" t="s">
        <v>3702</v>
      </c>
      <c r="N12" s="1755" t="s">
        <v>2789</v>
      </c>
      <c r="O12" s="1755" t="s">
        <v>3701</v>
      </c>
      <c r="P12" s="517">
        <f>IF(H12="","",H12*12/0.3)</f>
        <v>26600</v>
      </c>
      <c r="Q12" s="518">
        <f>IF(H12="","",P12/($P$6*VLOOKUP(C12,'DCA Underwriting Assumptions'!$J$82:$K$87,2,FALSE)))</f>
        <v>0.59348505131637663</v>
      </c>
      <c r="R12" s="606"/>
      <c r="S12" s="518"/>
      <c r="T12" s="1756"/>
      <c r="U12" s="1757"/>
      <c r="V12" s="566" t="str">
        <f t="shared" si="1"/>
        <v/>
      </c>
      <c r="W12" s="566" t="str">
        <f t="shared" si="2"/>
        <v/>
      </c>
      <c r="X12" s="566" t="str">
        <f t="shared" si="3"/>
        <v/>
      </c>
      <c r="Y12" s="566" t="str">
        <f t="shared" si="4"/>
        <v/>
      </c>
      <c r="Z12" s="566" t="str">
        <f t="shared" si="5"/>
        <v/>
      </c>
      <c r="AA12" s="566" t="str">
        <f t="shared" si="6"/>
        <v/>
      </c>
      <c r="AB12" s="566" t="str">
        <f t="shared" si="7"/>
        <v/>
      </c>
      <c r="AC12" s="566">
        <f t="shared" si="8"/>
        <v>47</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f t="shared" si="180"/>
        <v>47</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40279</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f t="shared" si="48"/>
        <v>40279</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f t="shared" si="73"/>
        <v>47</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47</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f t="shared" si="133"/>
        <v>47</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1219</v>
      </c>
      <c r="C13" s="1751">
        <v>2</v>
      </c>
      <c r="D13" s="1752">
        <v>1</v>
      </c>
      <c r="E13" s="1753">
        <v>1</v>
      </c>
      <c r="F13" s="1753">
        <v>857</v>
      </c>
      <c r="G13" s="1753">
        <v>0</v>
      </c>
      <c r="H13" s="1753">
        <v>0</v>
      </c>
      <c r="I13" s="1753">
        <v>0</v>
      </c>
      <c r="J13" s="1754"/>
      <c r="K13" s="198">
        <f t="shared" si="172"/>
        <v>0</v>
      </c>
      <c r="L13" s="198">
        <f t="shared" si="0"/>
        <v>0</v>
      </c>
      <c r="M13" s="1755" t="s">
        <v>3703</v>
      </c>
      <c r="N13" s="1755" t="s">
        <v>2789</v>
      </c>
      <c r="O13" s="1755" t="s">
        <v>3701</v>
      </c>
      <c r="P13" s="517">
        <f>IF(H13="","",H13*12/0.3)</f>
        <v>0</v>
      </c>
      <c r="Q13" s="518">
        <f>IF(H13="","",P13/($P$6*VLOOKUP(C13,'DCA Underwriting Assumptions'!$J$82:$K$87,2,FALSE)))</f>
        <v>0</v>
      </c>
      <c r="R13" s="606"/>
      <c r="S13" s="518"/>
      <c r="T13" s="1756"/>
      <c r="U13" s="1757"/>
      <c r="V13" s="566" t="str">
        <f t="shared" si="1"/>
        <v/>
      </c>
      <c r="W13" s="566" t="str">
        <f t="shared" si="2"/>
        <v/>
      </c>
      <c r="X13" s="566">
        <f t="shared" si="3"/>
        <v>1</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857</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f t="shared" si="73"/>
        <v>1</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1</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f t="shared" si="133"/>
        <v>1</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121</v>
      </c>
      <c r="C14" s="1751">
        <v>3</v>
      </c>
      <c r="D14" s="1752">
        <v>1.5</v>
      </c>
      <c r="E14" s="1753">
        <v>24</v>
      </c>
      <c r="F14" s="1753">
        <v>1155</v>
      </c>
      <c r="G14" s="1753">
        <v>738</v>
      </c>
      <c r="H14" s="1753">
        <v>738</v>
      </c>
      <c r="I14" s="1753">
        <v>158</v>
      </c>
      <c r="J14" s="1754" t="s">
        <v>3704</v>
      </c>
      <c r="K14" s="198">
        <f t="shared" si="172"/>
        <v>580</v>
      </c>
      <c r="L14" s="198">
        <f t="shared" si="0"/>
        <v>13920</v>
      </c>
      <c r="M14" s="1755" t="s">
        <v>3702</v>
      </c>
      <c r="N14" s="1755" t="s">
        <v>44</v>
      </c>
      <c r="O14" s="1755" t="s">
        <v>3701</v>
      </c>
      <c r="P14" s="517">
        <f>IF(H14="","",H14*12/0.3)</f>
        <v>29520</v>
      </c>
      <c r="Q14" s="518">
        <f>IF(H14="","",P14/($P$6*VLOOKUP(C14,'DCA Underwriting Assumptions'!$J$82:$K$87,2,FALSE)))</f>
        <v>0.56997219647822062</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f t="shared" si="9"/>
        <v>24</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f t="shared" si="181"/>
        <v>24</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f t="shared" si="34"/>
        <v>27720</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f t="shared" si="49"/>
        <v>27720</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f t="shared" si="74"/>
        <v>24</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f t="shared" si="124"/>
        <v>24</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1219</v>
      </c>
      <c r="C15" s="1751">
        <v>4</v>
      </c>
      <c r="D15" s="1752">
        <v>2</v>
      </c>
      <c r="E15" s="1753">
        <v>5</v>
      </c>
      <c r="F15" s="1753">
        <v>1198</v>
      </c>
      <c r="G15" s="1753">
        <v>842</v>
      </c>
      <c r="H15" s="1753">
        <v>842</v>
      </c>
      <c r="I15" s="1753">
        <v>180</v>
      </c>
      <c r="J15" s="1754" t="s">
        <v>3704</v>
      </c>
      <c r="K15" s="198">
        <f t="shared" si="172"/>
        <v>662</v>
      </c>
      <c r="L15" s="198">
        <f t="shared" si="0"/>
        <v>3310</v>
      </c>
      <c r="M15" s="1755" t="s">
        <v>3702</v>
      </c>
      <c r="N15" s="1755" t="s">
        <v>43</v>
      </c>
      <c r="O15" s="1755" t="s">
        <v>3701</v>
      </c>
      <c r="P15" s="517">
        <f t="shared" ref="P15:P47" si="203">IF(H15="","",H15*12/0.3)</f>
        <v>33680</v>
      </c>
      <c r="Q15" s="518">
        <f>IF(H15="","",P15/($P$6*VLOOKUP(C15,'DCA Underwriting Assumptions'!$J$82:$K$87,2,FALSE)))</f>
        <v>0.58302174214097779</v>
      </c>
      <c r="R15" s="606"/>
      <c r="S15" s="518"/>
      <c r="T15" s="1756"/>
      <c r="U15" s="1757"/>
      <c r="V15" s="566" t="str">
        <f t="shared" si="1"/>
        <v/>
      </c>
      <c r="W15" s="566" t="str">
        <f t="shared" si="2"/>
        <v/>
      </c>
      <c r="X15" s="566" t="str">
        <f t="shared" si="3"/>
        <v/>
      </c>
      <c r="Y15" s="566" t="str">
        <f t="shared" si="4"/>
        <v/>
      </c>
      <c r="Z15" s="566">
        <f t="shared" si="5"/>
        <v>5</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f t="shared" si="187"/>
        <v>5</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f t="shared" si="30"/>
        <v>5990</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f t="shared" si="50"/>
        <v>5990</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f t="shared" si="75"/>
        <v>5</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f t="shared" si="110"/>
        <v>5</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1896</v>
      </c>
      <c r="C16" s="1751"/>
      <c r="D16" s="1752"/>
      <c r="E16" s="1753"/>
      <c r="F16" s="1753"/>
      <c r="G16" s="1753"/>
      <c r="H16" s="1753"/>
      <c r="I16" s="1753"/>
      <c r="J16" s="1754"/>
      <c r="K16" s="198">
        <f t="shared" si="172"/>
        <v>0</v>
      </c>
      <c r="L16" s="198">
        <f t="shared" si="0"/>
        <v>0</v>
      </c>
      <c r="M16" s="1755"/>
      <c r="N16" s="1755"/>
      <c r="O16" s="1755"/>
      <c r="P16" s="517" t="str">
        <f t="shared" si="203"/>
        <v/>
      </c>
      <c r="Q16" s="518" t="str">
        <f>IF(H16="","",P16/($P$6*VLOOKUP(C16,'DCA Underwriting Assumptions'!$J$82:$K$87,2,FALSE)))</f>
        <v/>
      </c>
      <c r="R16" s="606"/>
      <c r="S16" s="518"/>
      <c r="T16" s="1756"/>
      <c r="U16" s="175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1896</v>
      </c>
      <c r="C17" s="1751"/>
      <c r="D17" s="1752"/>
      <c r="E17" s="1753"/>
      <c r="F17" s="1753"/>
      <c r="G17" s="1753"/>
      <c r="H17" s="1753"/>
      <c r="I17" s="1753"/>
      <c r="J17" s="1754"/>
      <c r="K17" s="198">
        <f t="shared" si="172"/>
        <v>0</v>
      </c>
      <c r="L17" s="198">
        <f t="shared" si="0"/>
        <v>0</v>
      </c>
      <c r="M17" s="1755"/>
      <c r="N17" s="1755"/>
      <c r="O17" s="1755"/>
      <c r="P17" s="517" t="str">
        <f t="shared" si="203"/>
        <v/>
      </c>
      <c r="Q17" s="518" t="str">
        <f>IF(H17="","",P17/($P$6*VLOOKUP(C17,'DCA Underwriting Assumptions'!$J$82:$K$87,2,FALSE)))</f>
        <v/>
      </c>
      <c r="R17" s="606"/>
      <c r="S17" s="518"/>
      <c r="T17" s="1756"/>
      <c r="U17" s="175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1896</v>
      </c>
      <c r="C18" s="1751"/>
      <c r="D18" s="1752"/>
      <c r="E18" s="1753"/>
      <c r="F18" s="1753"/>
      <c r="G18" s="1753"/>
      <c r="H18" s="1753"/>
      <c r="I18" s="1753"/>
      <c r="J18" s="1754"/>
      <c r="K18" s="198">
        <f t="shared" si="172"/>
        <v>0</v>
      </c>
      <c r="L18" s="198">
        <f t="shared" si="0"/>
        <v>0</v>
      </c>
      <c r="M18" s="1755"/>
      <c r="N18" s="1755"/>
      <c r="O18" s="1755"/>
      <c r="P18" s="517" t="str">
        <f t="shared" si="203"/>
        <v/>
      </c>
      <c r="Q18" s="518" t="str">
        <f>IF(H18="","",P18/($P$6*VLOOKUP(C18,'DCA Underwriting Assumptions'!$J$82:$K$87,2,FALSE)))</f>
        <v/>
      </c>
      <c r="R18" s="606"/>
      <c r="S18" s="518"/>
      <c r="T18" s="1756"/>
      <c r="U18" s="175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1896</v>
      </c>
      <c r="C19" s="1751"/>
      <c r="D19" s="1752"/>
      <c r="E19" s="1753"/>
      <c r="F19" s="1753"/>
      <c r="G19" s="1753"/>
      <c r="H19" s="1753"/>
      <c r="I19" s="1753"/>
      <c r="J19" s="1754"/>
      <c r="K19" s="198">
        <f t="shared" si="172"/>
        <v>0</v>
      </c>
      <c r="L19" s="198">
        <f t="shared" si="0"/>
        <v>0</v>
      </c>
      <c r="M19" s="1755"/>
      <c r="N19" s="1755"/>
      <c r="O19" s="1755"/>
      <c r="P19" s="517" t="str">
        <f t="shared" si="203"/>
        <v/>
      </c>
      <c r="Q19" s="518" t="str">
        <f>IF(H19="","",P19/($P$6*VLOOKUP(C19,'DCA Underwriting Assumptions'!$J$82:$K$87,2,FALSE)))</f>
        <v/>
      </c>
      <c r="R19" s="606"/>
      <c r="S19" s="518"/>
      <c r="T19" s="1756"/>
      <c r="U19" s="175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1896</v>
      </c>
      <c r="C20" s="1751"/>
      <c r="D20" s="1752"/>
      <c r="E20" s="1753"/>
      <c r="F20" s="1753"/>
      <c r="G20" s="1753"/>
      <c r="H20" s="1753"/>
      <c r="I20" s="1753"/>
      <c r="J20" s="1754"/>
      <c r="K20" s="198">
        <f t="shared" si="172"/>
        <v>0</v>
      </c>
      <c r="L20" s="198">
        <f t="shared" si="0"/>
        <v>0</v>
      </c>
      <c r="M20" s="1755"/>
      <c r="N20" s="1755"/>
      <c r="O20" s="1755"/>
      <c r="P20" s="517" t="str">
        <f t="shared" si="203"/>
        <v/>
      </c>
      <c r="Q20" s="518" t="str">
        <f>IF(H20="","",P20/($P$6*VLOOKUP(C20,'DCA Underwriting Assumptions'!$J$82:$K$87,2,FALSE)))</f>
        <v/>
      </c>
      <c r="R20" s="606"/>
      <c r="S20" s="518"/>
      <c r="T20" s="1756"/>
      <c r="U20" s="175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1896</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1896</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1896</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1896</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1896</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1896</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1896</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1896</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1896</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1896</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1896</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1896</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1896</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1896</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1896</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1896</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1896</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1896</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1896</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1896</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1896</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1896</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1896</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1896</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1896</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1896</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1896</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1081</v>
      </c>
      <c r="E48" s="148">
        <f>SUM(E10:E47)</f>
        <v>132</v>
      </c>
      <c r="F48" s="149">
        <f>(E10*F10+E11*F11+E12*F12+E13*F13+E14*F14+E15*F15+E16*F16+E17*F17+E18*F18+E19*F19+E20*F20+E21*F21+E22*F22+E23*F23+E24*F24+E25*F25+E26*F26+E27*F27+E28*F28+E29*F29+E30*F30+E31*F31+E32*F32+E33*F33+E34*F34+E35*F35+E36*F36+E37*F37+E38*F38+E39*F39+E40*F40+E41*F41+E42*F42+E43*F43+E44*F44+E45*F45+E46*F46+E47*F47)</f>
        <v>106196</v>
      </c>
      <c r="G48" s="140"/>
      <c r="H48" s="141"/>
      <c r="I48" s="141"/>
      <c r="J48" s="141"/>
      <c r="K48" s="15" t="s">
        <v>1389</v>
      </c>
      <c r="L48" s="147">
        <f>SUM(L10:L47)</f>
        <v>67654</v>
      </c>
      <c r="M48" s="1"/>
      <c r="N48" s="40"/>
      <c r="O48" s="1"/>
      <c r="P48" s="520"/>
      <c r="Q48" s="520"/>
      <c r="R48" s="520"/>
      <c r="S48" s="520"/>
      <c r="T48" s="519"/>
      <c r="U48" s="521"/>
      <c r="V48" s="578">
        <f t="shared" ref="V48:CK48" si="206">SUM(V10:V47)</f>
        <v>0</v>
      </c>
      <c r="W48" s="578">
        <f t="shared" si="206"/>
        <v>55</v>
      </c>
      <c r="X48" s="578">
        <f t="shared" si="206"/>
        <v>1</v>
      </c>
      <c r="Y48" s="578">
        <f t="shared" si="206"/>
        <v>0</v>
      </c>
      <c r="Z48" s="578">
        <f t="shared" si="206"/>
        <v>5</v>
      </c>
      <c r="AA48" s="578">
        <f t="shared" si="206"/>
        <v>0</v>
      </c>
      <c r="AB48" s="578">
        <f t="shared" si="206"/>
        <v>0</v>
      </c>
      <c r="AC48" s="578">
        <f t="shared" si="206"/>
        <v>47</v>
      </c>
      <c r="AD48" s="578">
        <f t="shared" si="206"/>
        <v>24</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47</v>
      </c>
      <c r="AX48" s="578">
        <f t="shared" si="206"/>
        <v>24</v>
      </c>
      <c r="AY48" s="578">
        <f t="shared" si="206"/>
        <v>0</v>
      </c>
      <c r="AZ48" s="578">
        <f t="shared" si="206"/>
        <v>0</v>
      </c>
      <c r="BA48" s="578">
        <f t="shared" si="206"/>
        <v>55</v>
      </c>
      <c r="BB48" s="578">
        <f t="shared" si="206"/>
        <v>0</v>
      </c>
      <c r="BC48" s="578">
        <f t="shared" si="206"/>
        <v>0</v>
      </c>
      <c r="BD48" s="578">
        <f t="shared" si="206"/>
        <v>5</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31350</v>
      </c>
      <c r="CA48" s="578">
        <f t="shared" si="206"/>
        <v>857</v>
      </c>
      <c r="CB48" s="578">
        <f t="shared" si="206"/>
        <v>0</v>
      </c>
      <c r="CC48" s="578">
        <f t="shared" si="206"/>
        <v>5990</v>
      </c>
      <c r="CD48" s="578">
        <f t="shared" si="206"/>
        <v>0</v>
      </c>
      <c r="CE48" s="578">
        <f t="shared" si="206"/>
        <v>0</v>
      </c>
      <c r="CF48" s="578">
        <f t="shared" si="206"/>
        <v>40279</v>
      </c>
      <c r="CG48" s="578">
        <f t="shared" si="206"/>
        <v>27720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31350</v>
      </c>
      <c r="CU48" s="578">
        <f t="shared" si="208"/>
        <v>40279</v>
      </c>
      <c r="CV48" s="578">
        <f t="shared" si="208"/>
        <v>27720</v>
      </c>
      <c r="CW48" s="578">
        <f t="shared" si="208"/>
        <v>5990</v>
      </c>
      <c r="CX48" s="578">
        <f t="shared" si="208"/>
        <v>0</v>
      </c>
      <c r="CY48" s="578">
        <f t="shared" si="208"/>
        <v>0</v>
      </c>
      <c r="CZ48" s="578">
        <f t="shared" si="208"/>
        <v>0</v>
      </c>
      <c r="DA48" s="578">
        <f t="shared" si="208"/>
        <v>0</v>
      </c>
      <c r="DB48" s="578">
        <f t="shared" si="208"/>
        <v>0</v>
      </c>
      <c r="DC48" s="578">
        <f t="shared" si="208"/>
        <v>0</v>
      </c>
      <c r="DD48" s="578">
        <f t="shared" si="208"/>
        <v>0</v>
      </c>
      <c r="DE48" s="578">
        <f t="shared" si="208"/>
        <v>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55</v>
      </c>
      <c r="DT48" s="578">
        <f t="shared" si="208"/>
        <v>48</v>
      </c>
      <c r="DU48" s="578">
        <f t="shared" si="208"/>
        <v>24</v>
      </c>
      <c r="DV48" s="578">
        <f t="shared" si="208"/>
        <v>5</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55</v>
      </c>
      <c r="EX48" s="578">
        <f t="shared" si="209"/>
        <v>48</v>
      </c>
      <c r="EY48" s="578">
        <f t="shared" si="209"/>
        <v>0</v>
      </c>
      <c r="EZ48" s="578">
        <f t="shared" si="209"/>
        <v>0</v>
      </c>
      <c r="FA48" s="578">
        <f t="shared" si="209"/>
        <v>0</v>
      </c>
      <c r="FB48" s="578">
        <f t="shared" si="209"/>
        <v>0</v>
      </c>
      <c r="FC48" s="578">
        <f t="shared" si="209"/>
        <v>0</v>
      </c>
      <c r="FD48" s="578">
        <f t="shared" si="209"/>
        <v>0</v>
      </c>
      <c r="FE48" s="578">
        <f t="shared" si="209"/>
        <v>5</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24</v>
      </c>
      <c r="FT48" s="578">
        <f t="shared" si="209"/>
        <v>0</v>
      </c>
      <c r="FU48" s="578">
        <f t="shared" si="209"/>
        <v>0</v>
      </c>
      <c r="FV48" s="578">
        <f t="shared" si="209"/>
        <v>55</v>
      </c>
      <c r="FW48" s="578">
        <f t="shared" si="209"/>
        <v>0</v>
      </c>
      <c r="FX48" s="578">
        <f t="shared" si="209"/>
        <v>0</v>
      </c>
      <c r="FY48" s="578">
        <f t="shared" si="209"/>
        <v>0</v>
      </c>
      <c r="FZ48" s="578">
        <f t="shared" si="209"/>
        <v>0</v>
      </c>
      <c r="GA48" s="578">
        <f t="shared" si="209"/>
        <v>0</v>
      </c>
      <c r="GB48" s="578">
        <f t="shared" si="209"/>
        <v>48</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869</v>
      </c>
      <c r="L49" s="147">
        <f>L48*12</f>
        <v>811848</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2806</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791</v>
      </c>
      <c r="B53" s="16" t="s">
        <v>568</v>
      </c>
      <c r="O53" s="96"/>
      <c r="Q53" s="1397" t="str">
        <f>IF(SUM(Q56:Q100)&gt;0,"ERROR Between Rent Schedule &amp; Unit Summary:", "")</f>
        <v>ERROR Between Rent Schedule &amp; Unit Summary:</v>
      </c>
      <c r="R53" s="1158"/>
      <c r="S53" s="1158"/>
      <c r="T53" s="5" t="str">
        <f>B53</f>
        <v>UNIT SUMMARY</v>
      </c>
      <c r="U53" s="498" t="s">
        <v>568</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1205</v>
      </c>
      <c r="H55" s="142" t="s">
        <v>602</v>
      </c>
      <c r="I55" s="142" t="s">
        <v>569</v>
      </c>
      <c r="J55" s="142" t="s">
        <v>570</v>
      </c>
      <c r="K55" s="142" t="s">
        <v>571</v>
      </c>
      <c r="L55" s="142" t="s">
        <v>572</v>
      </c>
      <c r="M55" s="142" t="s">
        <v>573</v>
      </c>
      <c r="O55" s="96"/>
      <c r="Q55" s="1398"/>
      <c r="R55" s="1159"/>
      <c r="S55" s="1159"/>
      <c r="T55" s="1275" t="s">
        <v>1975</v>
      </c>
      <c r="U55" s="1275"/>
      <c r="V55" s="1178"/>
      <c r="W55" s="1178"/>
      <c r="X55" s="1178"/>
      <c r="Y55" s="1178"/>
      <c r="Z55" s="1178"/>
      <c r="AA55" s="581"/>
      <c r="AB55" s="581"/>
      <c r="AC55" s="581"/>
      <c r="AD55" s="581"/>
      <c r="AE55" s="581"/>
      <c r="AF55" s="581"/>
      <c r="AG55" s="1178"/>
      <c r="AH55" s="568"/>
      <c r="GW55" s="580"/>
      <c r="HL55" s="566"/>
    </row>
    <row r="56" spans="1:221" ht="12" customHeight="1">
      <c r="C56" s="1" t="s">
        <v>1207</v>
      </c>
      <c r="D56" s="1"/>
      <c r="E56" s="1"/>
      <c r="F56" s="1"/>
      <c r="G56" s="44" t="s">
        <v>1219</v>
      </c>
      <c r="H56" s="322">
        <f>V48</f>
        <v>0</v>
      </c>
      <c r="I56" s="322">
        <f>W48</f>
        <v>55</v>
      </c>
      <c r="J56" s="322">
        <f>X48</f>
        <v>1</v>
      </c>
      <c r="K56" s="322">
        <f>Y48</f>
        <v>0</v>
      </c>
      <c r="L56" s="322">
        <f>Z48</f>
        <v>5</v>
      </c>
      <c r="M56" s="322">
        <f t="shared" ref="M56:M62" si="211">SUM(H56:L56)</f>
        <v>61</v>
      </c>
      <c r="N56" s="1399" t="s">
        <v>947</v>
      </c>
      <c r="O56" s="1400"/>
      <c r="P56" s="1160"/>
      <c r="Q56" s="499">
        <f t="shared" ref="Q56:Q62" si="212">ABS(M56-AF56)</f>
        <v>61</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465</v>
      </c>
      <c r="B57" s="1396"/>
      <c r="C57" s="5"/>
      <c r="D57" s="1"/>
      <c r="E57" s="1"/>
      <c r="F57" s="1"/>
      <c r="G57" s="44" t="s">
        <v>121</v>
      </c>
      <c r="H57" s="323">
        <f>AA48</f>
        <v>0</v>
      </c>
      <c r="I57" s="323">
        <f>AB48</f>
        <v>0</v>
      </c>
      <c r="J57" s="323">
        <f>AC48</f>
        <v>47</v>
      </c>
      <c r="K57" s="323">
        <f>AD48</f>
        <v>24</v>
      </c>
      <c r="L57" s="323">
        <f>AE48</f>
        <v>0</v>
      </c>
      <c r="M57" s="323">
        <f t="shared" si="211"/>
        <v>71</v>
      </c>
      <c r="N57" s="1399"/>
      <c r="O57" s="1400"/>
      <c r="P57" s="1160"/>
      <c r="Q57" s="499">
        <f t="shared" si="212"/>
        <v>71</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573</v>
      </c>
      <c r="H58" s="324">
        <f>SUM(H56:H57)</f>
        <v>0</v>
      </c>
      <c r="I58" s="324">
        <f>SUM(I56:I57)</f>
        <v>55</v>
      </c>
      <c r="J58" s="324">
        <f>SUM(J56:J57)</f>
        <v>48</v>
      </c>
      <c r="K58" s="324">
        <f>SUM(K56:K57)</f>
        <v>24</v>
      </c>
      <c r="L58" s="324">
        <f>SUM(L56:L57)</f>
        <v>5</v>
      </c>
      <c r="M58" s="324">
        <f t="shared" si="211"/>
        <v>132</v>
      </c>
      <c r="N58" s="327"/>
      <c r="O58" s="96"/>
      <c r="Q58" s="499">
        <f t="shared" si="212"/>
        <v>132</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320</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1208</v>
      </c>
      <c r="D60" s="1"/>
      <c r="E60" s="1"/>
      <c r="F60" s="1"/>
      <c r="G60" s="44"/>
      <c r="H60" s="324">
        <f>SUM(H58:H59)</f>
        <v>0</v>
      </c>
      <c r="I60" s="324">
        <f>SUM(I58:I59)</f>
        <v>55</v>
      </c>
      <c r="J60" s="324">
        <f>SUM(J58:J59)</f>
        <v>48</v>
      </c>
      <c r="K60" s="324">
        <f>SUM(K58:K59)</f>
        <v>24</v>
      </c>
      <c r="L60" s="324">
        <f>SUM(L58:L59)</f>
        <v>5</v>
      </c>
      <c r="M60" s="324">
        <f t="shared" si="211"/>
        <v>132</v>
      </c>
      <c r="N60" s="65"/>
      <c r="O60" s="96"/>
      <c r="Q60" s="499">
        <f t="shared" si="212"/>
        <v>132</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2683</v>
      </c>
      <c r="D61" s="1"/>
      <c r="E61" s="1"/>
      <c r="F61" s="1"/>
      <c r="G61" s="44"/>
      <c r="H61" s="324">
        <f>BT48</f>
        <v>0</v>
      </c>
      <c r="I61" s="324">
        <f>BU48</f>
        <v>0</v>
      </c>
      <c r="J61" s="324">
        <f>BV48</f>
        <v>0</v>
      </c>
      <c r="K61" s="324">
        <f>BW48</f>
        <v>0</v>
      </c>
      <c r="L61" s="324">
        <f>BX48</f>
        <v>0</v>
      </c>
      <c r="M61" s="324">
        <f t="shared" si="211"/>
        <v>0</v>
      </c>
      <c r="N61" s="62" t="s">
        <v>2357</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573</v>
      </c>
      <c r="D62" s="1"/>
      <c r="E62" s="1"/>
      <c r="F62" s="1"/>
      <c r="G62" s="44"/>
      <c r="H62" s="324">
        <f>SUM(H60:H61)</f>
        <v>0</v>
      </c>
      <c r="I62" s="324">
        <f>SUM(I60:I61)</f>
        <v>55</v>
      </c>
      <c r="J62" s="324">
        <f>SUM(J60:J61)</f>
        <v>48</v>
      </c>
      <c r="K62" s="324">
        <f>SUM(K60:K61)</f>
        <v>24</v>
      </c>
      <c r="L62" s="324">
        <f>SUM(L60:L61)</f>
        <v>5</v>
      </c>
      <c r="M62" s="324">
        <f t="shared" si="211"/>
        <v>132</v>
      </c>
      <c r="O62" s="96"/>
      <c r="Q62" s="499">
        <f t="shared" si="212"/>
        <v>132</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991</v>
      </c>
      <c r="D64" s="1"/>
      <c r="E64" s="127"/>
      <c r="F64" s="1"/>
      <c r="G64" s="44" t="s">
        <v>1219</v>
      </c>
      <c r="H64" s="322">
        <f>AZ48</f>
        <v>0</v>
      </c>
      <c r="I64" s="322">
        <f>BA48</f>
        <v>55</v>
      </c>
      <c r="J64" s="322">
        <f>BB48</f>
        <v>0</v>
      </c>
      <c r="K64" s="322">
        <f>BC48</f>
        <v>0</v>
      </c>
      <c r="L64" s="322">
        <f>BD48</f>
        <v>5</v>
      </c>
      <c r="M64" s="322">
        <f>SUM(H64:L64)</f>
        <v>60</v>
      </c>
      <c r="N64" s="62"/>
      <c r="O64" s="96"/>
      <c r="Q64" s="499">
        <f>ABS(M64-AF64)</f>
        <v>60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2684</v>
      </c>
      <c r="D65" s="1"/>
      <c r="E65" s="127"/>
      <c r="F65" s="1"/>
      <c r="G65" s="44" t="s">
        <v>121</v>
      </c>
      <c r="H65" s="323">
        <f>AU48</f>
        <v>0</v>
      </c>
      <c r="I65" s="323">
        <f>AV48</f>
        <v>0</v>
      </c>
      <c r="J65" s="323">
        <f>AW48</f>
        <v>47</v>
      </c>
      <c r="K65" s="323">
        <f>AX48</f>
        <v>24</v>
      </c>
      <c r="L65" s="323">
        <f>AY48</f>
        <v>0</v>
      </c>
      <c r="M65" s="325">
        <f>SUM(H65:L65)</f>
        <v>71</v>
      </c>
      <c r="N65" s="62"/>
      <c r="O65" s="96"/>
      <c r="Q65" s="499">
        <f>ABS(M65-AF65)</f>
        <v>71</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573</v>
      </c>
      <c r="H66" s="324">
        <f>SUM(H64:H65)</f>
        <v>0</v>
      </c>
      <c r="I66" s="324">
        <f>SUM(I64:I65)</f>
        <v>55</v>
      </c>
      <c r="J66" s="324">
        <f>SUM(J64:J65)</f>
        <v>47</v>
      </c>
      <c r="K66" s="324">
        <f>SUM(K64:K65)</f>
        <v>24</v>
      </c>
      <c r="L66" s="324">
        <f>SUM(L64:L65)</f>
        <v>5</v>
      </c>
      <c r="M66" s="324">
        <f>SUM(H66:L66)</f>
        <v>131</v>
      </c>
      <c r="N66" s="62"/>
      <c r="O66" s="96"/>
      <c r="Q66" s="499">
        <f>ABS(M66-AF66)</f>
        <v>131</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946</v>
      </c>
      <c r="D68" s="1"/>
      <c r="E68" s="127"/>
      <c r="F68" s="1"/>
      <c r="G68" s="44" t="s">
        <v>1219</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2684</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573</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2445</v>
      </c>
      <c r="F72" s="1"/>
      <c r="G72" s="44" t="s">
        <v>1527</v>
      </c>
      <c r="H72" s="322">
        <f>DC48</f>
        <v>0</v>
      </c>
      <c r="I72" s="322">
        <f>DD48</f>
        <v>0</v>
      </c>
      <c r="J72" s="322">
        <f>DE48</f>
        <v>0</v>
      </c>
      <c r="K72" s="322">
        <f>DF48</f>
        <v>0</v>
      </c>
      <c r="L72" s="322">
        <f>DG48</f>
        <v>0</v>
      </c>
      <c r="M72" s="322">
        <f t="shared" ref="M72:M82" si="213">SUM(H72:L72)</f>
        <v>0</v>
      </c>
      <c r="N72" s="31"/>
      <c r="O72" s="96"/>
      <c r="Q72" s="499">
        <f t="shared" ref="Q72:Q80" si="214">ABS(M72-AF72)</f>
        <v>0</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320</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0</v>
      </c>
      <c r="J74" s="324">
        <f>SUM(J72:J73)+DO48</f>
        <v>0</v>
      </c>
      <c r="K74" s="324">
        <f>SUM(K72:K73)+DP48</f>
        <v>0</v>
      </c>
      <c r="L74" s="324">
        <f>SUM(L72:L73)+DQ48</f>
        <v>0</v>
      </c>
      <c r="M74" s="324">
        <f t="shared" si="213"/>
        <v>0</v>
      </c>
      <c r="N74" s="62"/>
      <c r="O74" s="96"/>
      <c r="Q74" s="499">
        <f t="shared" si="214"/>
        <v>0</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2276</v>
      </c>
      <c r="F75" s="1"/>
      <c r="G75" s="44" t="s">
        <v>1527</v>
      </c>
      <c r="H75" s="322">
        <f>DR48</f>
        <v>0</v>
      </c>
      <c r="I75" s="322">
        <f>DS48</f>
        <v>55</v>
      </c>
      <c r="J75" s="322">
        <f>DT48</f>
        <v>48</v>
      </c>
      <c r="K75" s="322">
        <f>DU48</f>
        <v>24</v>
      </c>
      <c r="L75" s="322">
        <f>DV48</f>
        <v>5</v>
      </c>
      <c r="M75" s="322">
        <f t="shared" si="213"/>
        <v>132</v>
      </c>
      <c r="N75" s="31"/>
      <c r="O75" s="96"/>
      <c r="Q75" s="499">
        <f t="shared" si="214"/>
        <v>132</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320</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55</v>
      </c>
      <c r="J77" s="324">
        <f>SUM(J75:J76)+ED48</f>
        <v>48</v>
      </c>
      <c r="K77" s="324">
        <f>SUM(K75:K76)+EE48</f>
        <v>24</v>
      </c>
      <c r="L77" s="324">
        <f>SUM(L75:L76)+EF48</f>
        <v>5</v>
      </c>
      <c r="M77" s="324">
        <f t="shared" si="213"/>
        <v>132</v>
      </c>
      <c r="N77" s="62"/>
      <c r="O77" s="96"/>
      <c r="Q77" s="499">
        <f t="shared" si="214"/>
        <v>132</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1513</v>
      </c>
      <c r="F78" s="1394"/>
      <c r="G78" s="44" t="s">
        <v>1527</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320</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385</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386</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55</v>
      </c>
      <c r="J84" s="322">
        <f>SUM(J85:J88)</f>
        <v>48</v>
      </c>
      <c r="K84" s="322">
        <f>SUM(K85:K88)</f>
        <v>0</v>
      </c>
      <c r="L84" s="322">
        <f>SUM(L85:L88)</f>
        <v>0</v>
      </c>
      <c r="M84" s="322">
        <f t="shared" ref="M84:M92" si="215">SUM(H84:L84)</f>
        <v>103</v>
      </c>
      <c r="N84" s="31"/>
      <c r="O84" s="96"/>
      <c r="Q84" s="499">
        <f>ABS(M84-AF84)</f>
        <v>103</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2788</v>
      </c>
      <c r="H85" s="325">
        <f>FU48</f>
        <v>0</v>
      </c>
      <c r="I85" s="325">
        <f>FV48</f>
        <v>55</v>
      </c>
      <c r="J85" s="325">
        <f>FW48</f>
        <v>0</v>
      </c>
      <c r="K85" s="325">
        <f>FX48</f>
        <v>0</v>
      </c>
      <c r="L85" s="325">
        <f>FY48</f>
        <v>0</v>
      </c>
      <c r="M85" s="323">
        <f t="shared" si="215"/>
        <v>55</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2789</v>
      </c>
      <c r="H86" s="325">
        <f>FZ48</f>
        <v>0</v>
      </c>
      <c r="I86" s="325">
        <f>GA48</f>
        <v>0</v>
      </c>
      <c r="J86" s="325">
        <f>GB48</f>
        <v>48</v>
      </c>
      <c r="K86" s="325">
        <f>GC48</f>
        <v>0</v>
      </c>
      <c r="L86" s="325">
        <f>GD48</f>
        <v>0</v>
      </c>
      <c r="M86" s="323">
        <f t="shared" si="215"/>
        <v>48</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5</v>
      </c>
      <c r="M89" s="323">
        <f t="shared" si="215"/>
        <v>5</v>
      </c>
      <c r="N89" s="65"/>
      <c r="O89" s="96"/>
      <c r="Q89" s="499">
        <f>ABS(M89-AF89)</f>
        <v>5</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24</v>
      </c>
      <c r="L90" s="323">
        <f>FT48</f>
        <v>0</v>
      </c>
      <c r="M90" s="323">
        <f t="shared" si="215"/>
        <v>24</v>
      </c>
      <c r="N90" s="31"/>
      <c r="O90" s="96"/>
      <c r="Q90" s="499">
        <f>ABS(M90-AF90)</f>
        <v>24</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599</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600</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2305</v>
      </c>
      <c r="C93" s="1"/>
      <c r="D93" s="1"/>
      <c r="E93" s="1"/>
      <c r="F93" s="1"/>
      <c r="G93" s="44"/>
      <c r="H93" s="1"/>
      <c r="I93" s="1"/>
      <c r="J93" s="1"/>
      <c r="K93" s="1"/>
      <c r="L93" s="1"/>
      <c r="M93" s="1"/>
      <c r="O93" s="96"/>
      <c r="Q93" s="499"/>
      <c r="R93" s="499"/>
      <c r="S93" s="499"/>
      <c r="T93" s="382" t="str">
        <f>B93</f>
        <v>Unit Square Footage:</v>
      </c>
      <c r="U93" s="498" t="s">
        <v>1206</v>
      </c>
      <c r="V93" s="582"/>
      <c r="W93" s="582"/>
      <c r="X93" s="582"/>
      <c r="Y93" s="582"/>
      <c r="Z93" s="583"/>
      <c r="AA93" s="582"/>
      <c r="AB93" s="582"/>
      <c r="AC93" s="582"/>
      <c r="AD93" s="582"/>
      <c r="AE93" s="582"/>
      <c r="AF93" s="582"/>
      <c r="AG93" s="1178"/>
      <c r="AH93" s="568"/>
      <c r="GW93" s="580"/>
      <c r="HL93" s="566"/>
    </row>
    <row r="94" spans="1:220" ht="12" customHeight="1">
      <c r="C94" s="6" t="s">
        <v>2275</v>
      </c>
      <c r="D94" s="1"/>
      <c r="E94" s="1"/>
      <c r="F94" s="1"/>
      <c r="G94" s="44" t="s">
        <v>1219</v>
      </c>
      <c r="H94" s="194">
        <f>BY48</f>
        <v>0</v>
      </c>
      <c r="I94" s="194">
        <f>BZ48</f>
        <v>31350</v>
      </c>
      <c r="J94" s="194">
        <f>CA48</f>
        <v>857</v>
      </c>
      <c r="K94" s="194">
        <f>CB48</f>
        <v>0</v>
      </c>
      <c r="L94" s="194">
        <f>CC48</f>
        <v>5990</v>
      </c>
      <c r="M94" s="194">
        <f t="shared" ref="M94:M100" si="216">SUM(H94:L94)</f>
        <v>38197</v>
      </c>
      <c r="O94" s="96"/>
      <c r="Q94" s="499">
        <f t="shared" ref="Q94:Q100" si="217">ABS(M94-AF94)</f>
        <v>38197</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0</v>
      </c>
      <c r="J95" s="196">
        <f>CF48</f>
        <v>40279</v>
      </c>
      <c r="K95" s="196">
        <f>CG48</f>
        <v>27720</v>
      </c>
      <c r="L95" s="196">
        <f>CH48</f>
        <v>0</v>
      </c>
      <c r="M95" s="196">
        <f t="shared" si="216"/>
        <v>67999</v>
      </c>
      <c r="N95" s="6"/>
      <c r="O95" s="96"/>
      <c r="Q95" s="499">
        <f t="shared" si="217"/>
        <v>67999</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573</v>
      </c>
      <c r="H96" s="193">
        <f>SUM(H94:H95)</f>
        <v>0</v>
      </c>
      <c r="I96" s="193">
        <f>SUM(I94:I95)</f>
        <v>31350</v>
      </c>
      <c r="J96" s="193">
        <f>SUM(J94:J95)</f>
        <v>41136</v>
      </c>
      <c r="K96" s="193">
        <f>SUM(K94:K95)</f>
        <v>27720</v>
      </c>
      <c r="L96" s="193">
        <f>SUM(L94:L95)</f>
        <v>5990</v>
      </c>
      <c r="M96" s="193">
        <f t="shared" si="216"/>
        <v>106196</v>
      </c>
      <c r="N96" s="6"/>
      <c r="O96" s="96"/>
      <c r="Q96" s="499">
        <f t="shared" si="217"/>
        <v>106196</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320</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1208</v>
      </c>
      <c r="D98" s="1"/>
      <c r="E98" s="1"/>
      <c r="F98" s="1"/>
      <c r="G98" s="1"/>
      <c r="H98" s="193">
        <f>SUM(H96:H97)</f>
        <v>0</v>
      </c>
      <c r="I98" s="193">
        <f>SUM(I96:I97)</f>
        <v>31350</v>
      </c>
      <c r="J98" s="193">
        <f>SUM(J96:J97)</f>
        <v>41136</v>
      </c>
      <c r="K98" s="193">
        <f>SUM(K96:K97)</f>
        <v>27720</v>
      </c>
      <c r="L98" s="193">
        <f>SUM(L96:L97)</f>
        <v>5990</v>
      </c>
      <c r="M98" s="193">
        <f t="shared" si="216"/>
        <v>106196</v>
      </c>
      <c r="O98" s="96"/>
      <c r="Q98" s="499">
        <f t="shared" si="217"/>
        <v>106196</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573</v>
      </c>
      <c r="D100" s="1"/>
      <c r="E100" s="1"/>
      <c r="F100" s="1"/>
      <c r="G100" s="1"/>
      <c r="H100" s="193">
        <f>SUM(H98:H99)</f>
        <v>0</v>
      </c>
      <c r="I100" s="193">
        <f>SUM(I98:I99)</f>
        <v>31350</v>
      </c>
      <c r="J100" s="193">
        <f>SUM(J98:J99)</f>
        <v>41136</v>
      </c>
      <c r="K100" s="193">
        <f>SUM(K98:K99)</f>
        <v>27720</v>
      </c>
      <c r="L100" s="193">
        <f>SUM(L98:L99)</f>
        <v>5990</v>
      </c>
      <c r="M100" s="193">
        <f t="shared" si="216"/>
        <v>106196</v>
      </c>
      <c r="O100" s="96"/>
      <c r="Q100" s="499">
        <f t="shared" si="217"/>
        <v>106196</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3.9" customHeight="1">
      <c r="A102" s="16" t="s">
        <v>793</v>
      </c>
      <c r="B102" s="16" t="s">
        <v>237</v>
      </c>
      <c r="P102" s="9"/>
      <c r="Q102" s="500"/>
      <c r="R102" s="500"/>
      <c r="S102" s="500"/>
      <c r="T102" s="16" t="s">
        <v>1975</v>
      </c>
      <c r="FY102" s="566"/>
      <c r="GP102" s="575"/>
      <c r="GV102" s="566"/>
      <c r="GW102" s="580"/>
      <c r="HL102" s="566"/>
      <c r="HN102" s="580"/>
    </row>
    <row r="103" spans="1:222" ht="9" customHeight="1">
      <c r="P103" s="500"/>
    </row>
    <row r="104" spans="1:222" ht="12.6" customHeight="1">
      <c r="B104" s="16" t="s">
        <v>1079</v>
      </c>
      <c r="D104" s="127"/>
      <c r="H104" s="1769">
        <f>'Part VII-Pro Forma'!B9*L49</f>
        <v>16236.960000000001</v>
      </c>
      <c r="I104" s="1770"/>
      <c r="K104" s="641" t="s">
        <v>3014</v>
      </c>
      <c r="O104" s="601">
        <f>H104/L49</f>
        <v>0.02</v>
      </c>
      <c r="P104" s="458"/>
      <c r="T104" s="5" t="str">
        <f>B104</f>
        <v>Ancillary Income</v>
      </c>
    </row>
    <row r="105" spans="1:222" ht="15" customHeight="1">
      <c r="B105" s="16"/>
      <c r="D105" s="127"/>
      <c r="E105" s="161"/>
      <c r="I105" s="125"/>
      <c r="P105" s="458"/>
    </row>
    <row r="106" spans="1:222" ht="13.9" customHeight="1">
      <c r="B106" s="16" t="s">
        <v>1542</v>
      </c>
      <c r="I106" s="16"/>
      <c r="K106" s="41"/>
      <c r="T106" s="5" t="str">
        <f>B106</f>
        <v>Other Income (OI) by Year:</v>
      </c>
    </row>
    <row r="107" spans="1:222" ht="15" customHeight="1">
      <c r="B107" s="16"/>
      <c r="I107" s="16"/>
      <c r="K107" s="41"/>
    </row>
    <row r="108" spans="1:222" ht="13.9" customHeight="1">
      <c r="B108" s="453" t="s">
        <v>2435</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1080</v>
      </c>
      <c r="G109" s="1771"/>
      <c r="H109" s="1771"/>
      <c r="I109" s="1771"/>
      <c r="J109" s="1771"/>
      <c r="K109" s="1772"/>
      <c r="L109" s="1771"/>
      <c r="M109" s="1771"/>
      <c r="N109" s="1771"/>
      <c r="O109" s="1771"/>
      <c r="P109" s="1771"/>
      <c r="T109" s="1748"/>
      <c r="U109" s="1749"/>
    </row>
    <row r="110" spans="1:222" ht="15" customHeight="1">
      <c r="B110" s="9" t="s">
        <v>792</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985</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685</v>
      </c>
      <c r="G113" s="42"/>
      <c r="P113" s="9"/>
      <c r="T113" s="111" t="str">
        <f>B113</f>
        <v>NOT Included in Mgt Fee:</v>
      </c>
    </row>
    <row r="114" spans="2:21" ht="15" customHeight="1">
      <c r="B114" s="9" t="s">
        <v>567</v>
      </c>
      <c r="G114" s="1771"/>
      <c r="H114" s="1771"/>
      <c r="I114" s="1771"/>
      <c r="J114" s="1771"/>
      <c r="K114" s="1772"/>
      <c r="L114" s="1771"/>
      <c r="M114" s="1771"/>
      <c r="N114" s="1771"/>
      <c r="O114" s="1771"/>
      <c r="P114" s="1771"/>
      <c r="T114" s="1756"/>
      <c r="U114" s="1757"/>
    </row>
    <row r="115" spans="2:21" ht="15" customHeight="1">
      <c r="B115" s="9" t="s">
        <v>792</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2807</v>
      </c>
    </row>
    <row r="118" spans="2:21" ht="13.9" customHeight="1">
      <c r="B118" s="453" t="s">
        <v>2435</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1080</v>
      </c>
      <c r="G119" s="1771"/>
      <c r="H119" s="1771"/>
      <c r="I119" s="1771"/>
      <c r="J119" s="1771"/>
      <c r="K119" s="1772"/>
      <c r="L119" s="1771"/>
      <c r="M119" s="1771"/>
      <c r="N119" s="1771"/>
      <c r="O119" s="1771"/>
      <c r="P119" s="1771"/>
      <c r="T119" s="1748"/>
      <c r="U119" s="1749"/>
    </row>
    <row r="120" spans="2:21" ht="15" customHeight="1">
      <c r="B120" s="9" t="s">
        <v>792</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985</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685</v>
      </c>
      <c r="G123" s="42"/>
      <c r="P123" s="9"/>
      <c r="T123" s="111" t="str">
        <f>B123</f>
        <v>NOT Included in Mgt Fee:</v>
      </c>
    </row>
    <row r="124" spans="2:21" ht="15" customHeight="1">
      <c r="B124" s="9" t="s">
        <v>567</v>
      </c>
      <c r="G124" s="1771"/>
      <c r="H124" s="1771"/>
      <c r="I124" s="1771"/>
      <c r="J124" s="1771"/>
      <c r="K124" s="1772"/>
      <c r="L124" s="1771"/>
      <c r="M124" s="1771"/>
      <c r="N124" s="1771"/>
      <c r="O124" s="1771"/>
      <c r="P124" s="1771"/>
      <c r="T124" s="1756"/>
      <c r="U124" s="1757"/>
    </row>
    <row r="125" spans="2:21" ht="15" customHeight="1">
      <c r="B125" s="9" t="s">
        <v>792</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2808</v>
      </c>
    </row>
    <row r="128" spans="2:21" ht="13.9" customHeight="1">
      <c r="B128" s="453" t="s">
        <v>2435</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1080</v>
      </c>
      <c r="G129" s="1771"/>
      <c r="H129" s="1771"/>
      <c r="I129" s="1771"/>
      <c r="J129" s="1771"/>
      <c r="K129" s="1772"/>
      <c r="L129" s="1771"/>
      <c r="M129" s="1771"/>
      <c r="N129" s="1771"/>
      <c r="O129" s="1771"/>
      <c r="P129" s="1771"/>
      <c r="T129" s="1748"/>
      <c r="U129" s="1749"/>
    </row>
    <row r="130" spans="1:255" ht="15" customHeight="1">
      <c r="B130" s="9" t="s">
        <v>792</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985</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685</v>
      </c>
      <c r="G133" s="42"/>
      <c r="P133" s="9"/>
      <c r="T133" s="111" t="str">
        <f>B133</f>
        <v>NOT Included in Mgt Fee:</v>
      </c>
    </row>
    <row r="134" spans="1:255" ht="15" customHeight="1">
      <c r="B134" s="9" t="s">
        <v>567</v>
      </c>
      <c r="G134" s="1771"/>
      <c r="H134" s="1771"/>
      <c r="I134" s="1771"/>
      <c r="J134" s="1771"/>
      <c r="K134" s="1772"/>
      <c r="L134" s="1771"/>
      <c r="M134" s="1771"/>
      <c r="N134" s="1771"/>
      <c r="O134" s="1771"/>
      <c r="P134" s="1771"/>
      <c r="T134" s="1756"/>
      <c r="U134" s="1757"/>
    </row>
    <row r="135" spans="1:255" ht="15" customHeight="1">
      <c r="B135" s="9" t="s">
        <v>792</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1975</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8">
        <v>66021</v>
      </c>
      <c r="G141" s="1779"/>
      <c r="H141" s="1"/>
      <c r="I141" s="1" t="s">
        <v>1466</v>
      </c>
      <c r="J141" s="1"/>
      <c r="K141" s="1778"/>
      <c r="L141" s="1779"/>
      <c r="M141" s="1"/>
      <c r="N141" s="1" t="s">
        <v>986</v>
      </c>
      <c r="O141" s="1"/>
      <c r="P141" s="1780">
        <v>45000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8">
        <v>39208</v>
      </c>
      <c r="G142" s="1779"/>
      <c r="H142" s="1"/>
      <c r="I142" s="1" t="s">
        <v>1467</v>
      </c>
      <c r="J142" s="1"/>
      <c r="K142" s="1778">
        <v>2500</v>
      </c>
      <c r="L142" s="1779"/>
      <c r="M142" s="1"/>
      <c r="N142" s="1" t="s">
        <v>153</v>
      </c>
      <c r="O142" s="1"/>
      <c r="P142" s="1780">
        <v>29040</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8"/>
      <c r="G143" s="1779"/>
      <c r="H143" s="1"/>
      <c r="I143" s="1"/>
      <c r="J143" s="146" t="s">
        <v>200</v>
      </c>
      <c r="K143" s="1392">
        <f>SUM(K141:L142)</f>
        <v>2500</v>
      </c>
      <c r="L143" s="1393"/>
      <c r="M143" s="1"/>
      <c r="N143" s="1781" t="s">
        <v>54</v>
      </c>
      <c r="O143" s="1782"/>
      <c r="P143" s="1783">
        <v>687</v>
      </c>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54</v>
      </c>
      <c r="C144" s="1785"/>
      <c r="D144" s="1785"/>
      <c r="E144" s="1786"/>
      <c r="F144" s="1787">
        <v>26307</v>
      </c>
      <c r="G144" s="1788"/>
      <c r="H144" s="1"/>
      <c r="I144" s="1"/>
      <c r="J144" s="1"/>
      <c r="K144" s="1"/>
      <c r="L144" s="1"/>
      <c r="M144" s="1"/>
      <c r="N144" s="13" t="s">
        <v>200</v>
      </c>
      <c r="O144" s="1"/>
      <c r="P144" s="496">
        <f>SUM(P141:P143)</f>
        <v>74727</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92">
        <f>SUM(F141:G144)</f>
        <v>131536</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5">
        <f>IF(OR('Part VII-Pro Forma'!$B$20 = "Choose Mgt Fee",'Part VII-Pro Forma'!$B$20 = "Choose One!"), 0,- 'Part VII-Pro Forma'!$B$20)</f>
        <v>46207</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8">
        <v>5964</v>
      </c>
      <c r="G148" s="1779"/>
      <c r="H148" s="1"/>
      <c r="I148" s="1" t="s">
        <v>1712</v>
      </c>
      <c r="J148" s="1"/>
      <c r="K148" s="1789">
        <v>2500</v>
      </c>
      <c r="L148" s="1790"/>
      <c r="M148" s="1"/>
      <c r="N148" s="479">
        <f>+P147/(M62*0.93)</f>
        <v>376.40110785272071</v>
      </c>
      <c r="O148" s="30" t="s">
        <v>3139</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8">
        <v>5184</v>
      </c>
      <c r="G149" s="1779"/>
      <c r="H149" s="1"/>
      <c r="I149" s="1" t="s">
        <v>2188</v>
      </c>
      <c r="J149" s="1"/>
      <c r="K149" s="1791">
        <v>10925</v>
      </c>
      <c r="L149" s="1792"/>
      <c r="M149" s="1"/>
      <c r="N149" s="479">
        <f>+P147/(M62*0.93)/12</f>
        <v>31.366758987726726</v>
      </c>
      <c r="O149" s="30" t="s">
        <v>3141</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8"/>
      <c r="G150" s="1779"/>
      <c r="H150" s="1"/>
      <c r="I150" s="1" t="s">
        <v>1713</v>
      </c>
      <c r="J150" s="1"/>
      <c r="K150" s="1791">
        <v>2000</v>
      </c>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8"/>
      <c r="G151" s="1779"/>
      <c r="H151" s="1"/>
      <c r="I151" s="1781" t="s">
        <v>54</v>
      </c>
      <c r="J151" s="1782"/>
      <c r="K151" s="1789"/>
      <c r="L151" s="1790"/>
      <c r="M151" s="1"/>
      <c r="N151" s="1386" t="s">
        <v>2629</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8">
        <v>18430</v>
      </c>
      <c r="G152" s="1779"/>
      <c r="H152" s="1"/>
      <c r="I152" s="11"/>
      <c r="J152" s="13" t="s">
        <v>200</v>
      </c>
      <c r="K152" s="1390">
        <f>SUM(K148:K151)</f>
        <v>15425</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3779</v>
      </c>
      <c r="C153" s="1785"/>
      <c r="D153" s="1785"/>
      <c r="E153" s="1786"/>
      <c r="F153" s="1787">
        <v>4000</v>
      </c>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92">
        <f>SUM(F148:G153)</f>
        <v>33578</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31" t="s">
        <v>3138</v>
      </c>
      <c r="K156" s="1"/>
      <c r="L156" s="1"/>
      <c r="M156" s="1"/>
      <c r="N156" s="11" t="s">
        <v>2327</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3">
        <v>17500</v>
      </c>
      <c r="G157" s="1794"/>
      <c r="H157" s="1"/>
      <c r="I157" s="1" t="s">
        <v>1456</v>
      </c>
      <c r="J157" s="659">
        <f>K157/12/M62</f>
        <v>0</v>
      </c>
      <c r="K157" s="1791"/>
      <c r="L157" s="1792"/>
      <c r="M157" s="1"/>
      <c r="N157" s="479">
        <f>+P157/M62</f>
        <v>3299.037878787879</v>
      </c>
      <c r="O157" s="30" t="s">
        <v>3142</v>
      </c>
      <c r="P157" s="494">
        <f>F145+F154+F165+K143+K152+K162+P144+P147</f>
        <v>435473</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3">
        <v>16500</v>
      </c>
      <c r="G158" s="1794"/>
      <c r="H158" s="1"/>
      <c r="I158" s="1" t="s">
        <v>1457</v>
      </c>
      <c r="J158" s="659">
        <f>K158/12/M62</f>
        <v>0</v>
      </c>
      <c r="K158" s="1791"/>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3">
        <v>15000</v>
      </c>
      <c r="G159" s="1794"/>
      <c r="H159" s="1"/>
      <c r="I159" s="1" t="s">
        <v>2506</v>
      </c>
      <c r="J159" s="659">
        <f>K159/12/M62</f>
        <v>34.722222222222221</v>
      </c>
      <c r="K159" s="1791">
        <v>55000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8">
        <v>3500</v>
      </c>
      <c r="G160" s="1779"/>
      <c r="H160" s="1"/>
      <c r="I160" s="1" t="s">
        <v>1459</v>
      </c>
      <c r="J160" s="1"/>
      <c r="K160" s="1791">
        <v>7000</v>
      </c>
      <c r="L160" s="1792"/>
      <c r="M160" s="1"/>
      <c r="N160" s="11" t="s">
        <v>1323</v>
      </c>
      <c r="O160" s="11"/>
      <c r="P160" s="495">
        <f>P161*M62</f>
        <v>46200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8">
        <v>5000</v>
      </c>
      <c r="G161" s="1779"/>
      <c r="H161" s="1"/>
      <c r="I161" s="1781" t="s">
        <v>3780</v>
      </c>
      <c r="J161" s="1782"/>
      <c r="K161" s="1789">
        <v>2000</v>
      </c>
      <c r="L161" s="1790"/>
      <c r="M161" s="1"/>
      <c r="N161" s="30" t="s">
        <v>490</v>
      </c>
      <c r="O161" s="1"/>
      <c r="P161" s="1795">
        <v>350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8"/>
      <c r="G162" s="1779"/>
      <c r="H162" s="1"/>
      <c r="I162" s="1"/>
      <c r="J162" s="13" t="s">
        <v>200</v>
      </c>
      <c r="K162" s="1390">
        <f>SUM(K157:K161)</f>
        <v>64000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8">
        <v>10000</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54</v>
      </c>
      <c r="C164" s="1785"/>
      <c r="D164" s="1785"/>
      <c r="E164" s="1786"/>
      <c r="F164" s="1787"/>
      <c r="G164" s="1788"/>
      <c r="H164" s="1"/>
      <c r="I164" s="1"/>
      <c r="J164" s="14"/>
      <c r="K164" s="1"/>
      <c r="L164" s="1"/>
      <c r="M164" s="1"/>
      <c r="N164" s="11" t="s">
        <v>2328</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388">
        <f>SUM(F157:G164)</f>
        <v>67500</v>
      </c>
      <c r="G165" s="1389"/>
      <c r="H165" s="1"/>
      <c r="I165" s="1"/>
      <c r="J165" s="14"/>
      <c r="K165" s="1"/>
      <c r="L165" s="1"/>
      <c r="M165" s="1"/>
      <c r="N165" s="1"/>
      <c r="O165" s="1"/>
      <c r="P165" s="494">
        <f>P157+P160</f>
        <v>481673</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1975</v>
      </c>
    </row>
    <row r="168" spans="1:255" ht="145.5" customHeight="1">
      <c r="A168" s="1796" t="s">
        <v>2798</v>
      </c>
      <c r="B168" s="1797"/>
      <c r="C168" s="1797"/>
      <c r="D168" s="1797"/>
      <c r="E168" s="1797"/>
      <c r="F168" s="1797"/>
      <c r="G168" s="1797"/>
      <c r="H168" s="1797"/>
      <c r="I168" s="1797"/>
      <c r="J168" s="1798"/>
      <c r="K168" s="1799"/>
      <c r="L168" s="1800"/>
      <c r="M168" s="1800"/>
      <c r="N168" s="1800"/>
      <c r="O168" s="1800"/>
      <c r="P168" s="1801"/>
      <c r="T168" s="1286" t="s">
        <v>2925</v>
      </c>
      <c r="U168" s="128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55" zoomScale="90" zoomScaleNormal="90" workbookViewId="0">
      <selection activeCell="A55"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2014-051 Macon Gardens, Macon, Bibb County</v>
      </c>
      <c r="B1" s="2191"/>
      <c r="C1" s="2191"/>
      <c r="D1" s="2191"/>
      <c r="E1" s="2191"/>
      <c r="F1" s="2191"/>
      <c r="G1" s="2191"/>
      <c r="H1" s="2191"/>
      <c r="I1" s="2191"/>
      <c r="J1" s="2191"/>
      <c r="K1" s="2086"/>
      <c r="L1" s="11"/>
      <c r="M1" s="1409" t="str">
        <f>A1</f>
        <v>PART SEVEN - OPERATING PRO FORMA  -  2014-051 Macon Gardens, Macon, Bibb County</v>
      </c>
      <c r="N1" s="1409"/>
      <c r="O1" s="11"/>
    </row>
    <row r="2" spans="1:15" ht="13.5" customHeight="1">
      <c r="A2" s="645"/>
      <c r="B2" s="645"/>
      <c r="C2" s="645"/>
      <c r="D2" s="645"/>
      <c r="E2" s="645"/>
      <c r="F2" s="645"/>
      <c r="G2" s="645"/>
      <c r="H2" s="645"/>
      <c r="I2" s="645"/>
      <c r="J2" s="645"/>
      <c r="K2" s="645"/>
      <c r="M2" s="1410" t="s">
        <v>1975</v>
      </c>
      <c r="N2" s="1410"/>
    </row>
    <row r="3" spans="1:15" ht="13.5">
      <c r="A3" s="16" t="s">
        <v>93</v>
      </c>
      <c r="D3" s="16" t="s">
        <v>83</v>
      </c>
      <c r="E3" s="264"/>
      <c r="F3" s="331" t="s">
        <v>1110</v>
      </c>
      <c r="M3" s="16" t="str">
        <f>A3</f>
        <v>I.  OPERATING ASSUMPTIONS</v>
      </c>
      <c r="N3" s="35"/>
    </row>
    <row r="4" spans="1:15" ht="2.4500000000000002" customHeight="1">
      <c r="A4" s="19"/>
      <c r="B4" s="19"/>
      <c r="C4" s="19"/>
      <c r="H4" s="19"/>
      <c r="I4" s="19"/>
    </row>
    <row r="5" spans="1:15" ht="13.5" customHeight="1">
      <c r="A5" s="19" t="s">
        <v>2329</v>
      </c>
      <c r="B5" s="91">
        <v>0.02</v>
      </c>
      <c r="C5" s="19"/>
      <c r="D5" s="19" t="s">
        <v>839</v>
      </c>
      <c r="F5" s="19"/>
      <c r="G5" s="2192">
        <v>19800</v>
      </c>
      <c r="H5" s="113" t="s">
        <v>2042</v>
      </c>
      <c r="K5" s="118">
        <f>IF(($B$14+$B$15+$B$16+$B$17)=0,"",B28/($B$14+$B$15+$B$16+$B$17))</f>
        <v>-2.5710311875058282E-2</v>
      </c>
      <c r="M5" s="1748"/>
      <c r="N5" s="1749"/>
    </row>
    <row r="6" spans="1:15">
      <c r="A6" s="19" t="s">
        <v>2330</v>
      </c>
      <c r="B6" s="91">
        <v>0.03</v>
      </c>
      <c r="C6" s="19"/>
      <c r="D6" s="19"/>
      <c r="E6" s="19"/>
      <c r="F6" s="19"/>
      <c r="G6" s="19"/>
      <c r="H6" s="19"/>
      <c r="I6" s="19"/>
      <c r="J6" s="19"/>
      <c r="K6" s="19"/>
      <c r="M6" s="1756"/>
      <c r="N6" s="1757"/>
    </row>
    <row r="7" spans="1:15">
      <c r="A7" s="19" t="s">
        <v>2332</v>
      </c>
      <c r="B7" s="91">
        <v>0.03</v>
      </c>
      <c r="C7" s="19"/>
      <c r="D7" s="93" t="s">
        <v>285</v>
      </c>
      <c r="G7" s="95"/>
      <c r="H7" s="113" t="s">
        <v>2531</v>
      </c>
      <c r="K7" s="118">
        <f>IF(($B$14+$B$15+$B$16+$B$17)=0,"",-B20/($B$14+$B$15+$B$16+$B$17))</f>
        <v>5.9999817212667582E-2</v>
      </c>
      <c r="M7" s="1756"/>
      <c r="N7" s="1757"/>
    </row>
    <row r="8" spans="1:15" ht="13.15" customHeight="1">
      <c r="A8" s="19" t="s">
        <v>2331</v>
      </c>
      <c r="B8" s="2193">
        <v>7.0000000000000007E-2</v>
      </c>
      <c r="C8" s="19"/>
      <c r="D8" s="92" t="s">
        <v>2678</v>
      </c>
      <c r="G8" s="2194" t="s">
        <v>3705</v>
      </c>
      <c r="H8" s="202" t="s">
        <v>1541</v>
      </c>
      <c r="K8" s="2195">
        <v>46207</v>
      </c>
      <c r="M8" s="1756"/>
      <c r="N8" s="1757"/>
    </row>
    <row r="9" spans="1:15">
      <c r="A9" s="19" t="s">
        <v>1511</v>
      </c>
      <c r="B9" s="91">
        <v>0.02</v>
      </c>
      <c r="D9" s="92" t="s">
        <v>1840</v>
      </c>
      <c r="G9" s="2194" t="s">
        <v>3702</v>
      </c>
      <c r="H9" s="202" t="s">
        <v>2511</v>
      </c>
      <c r="K9" s="2196"/>
      <c r="M9" s="1764"/>
      <c r="N9" s="176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2809</v>
      </c>
      <c r="N13" s="1275"/>
    </row>
    <row r="14" spans="1:15" ht="13.15" customHeight="1">
      <c r="A14" s="21" t="s">
        <v>2566</v>
      </c>
      <c r="B14" s="22">
        <f>'Part VI-Revenues &amp; Expenses'!L49</f>
        <v>811848</v>
      </c>
      <c r="C14" s="22">
        <f t="shared" ref="C14:K14" si="1">$B$14*(1+$B$5)^(C13-1)</f>
        <v>828084.96</v>
      </c>
      <c r="D14" s="22">
        <f t="shared" si="1"/>
        <v>844646.65919999999</v>
      </c>
      <c r="E14" s="22">
        <f t="shared" si="1"/>
        <v>861539.59238399996</v>
      </c>
      <c r="F14" s="22">
        <f t="shared" si="1"/>
        <v>878770.38423167996</v>
      </c>
      <c r="G14" s="22">
        <f t="shared" si="1"/>
        <v>896345.79191631358</v>
      </c>
      <c r="H14" s="22">
        <f t="shared" si="1"/>
        <v>914272.70775463991</v>
      </c>
      <c r="I14" s="22">
        <f t="shared" si="1"/>
        <v>932558.1619097325</v>
      </c>
      <c r="J14" s="22">
        <f t="shared" si="1"/>
        <v>951209.32514792727</v>
      </c>
      <c r="K14" s="23">
        <f t="shared" si="1"/>
        <v>970233.5116508858</v>
      </c>
      <c r="M14" s="1748"/>
      <c r="N14" s="1749"/>
    </row>
    <row r="15" spans="1:15" ht="13.15" customHeight="1">
      <c r="A15" s="24" t="s">
        <v>1079</v>
      </c>
      <c r="B15" s="25">
        <f>MIN(B14*B9,'Part VI-Revenues &amp; Expenses'!H104)</f>
        <v>16236.960000000001</v>
      </c>
      <c r="C15" s="25">
        <f t="shared" ref="C15:K15" si="2">$B$15*(1+$B$5)^(C13-1)</f>
        <v>16561.699200000003</v>
      </c>
      <c r="D15" s="25">
        <f t="shared" si="2"/>
        <v>16892.933184000001</v>
      </c>
      <c r="E15" s="25">
        <f t="shared" si="2"/>
        <v>17230.791847680001</v>
      </c>
      <c r="F15" s="25">
        <f t="shared" si="2"/>
        <v>17575.407684633599</v>
      </c>
      <c r="G15" s="25">
        <f t="shared" si="2"/>
        <v>17926.915838326273</v>
      </c>
      <c r="H15" s="25">
        <f t="shared" si="2"/>
        <v>18285.454155092801</v>
      </c>
      <c r="I15" s="25">
        <f t="shared" si="2"/>
        <v>18651.163238194651</v>
      </c>
      <c r="J15" s="25">
        <f t="shared" si="2"/>
        <v>19024.186502958546</v>
      </c>
      <c r="K15" s="26">
        <f t="shared" si="2"/>
        <v>19404.670233017718</v>
      </c>
      <c r="M15" s="1756"/>
      <c r="N15" s="1757"/>
    </row>
    <row r="16" spans="1:15" ht="13.15" customHeight="1">
      <c r="A16" s="24" t="s">
        <v>2567</v>
      </c>
      <c r="B16" s="25">
        <f t="shared" ref="B16:K16" si="3">-(B14+B15)*$B$8</f>
        <v>-57965.947200000002</v>
      </c>
      <c r="C16" s="25">
        <f t="shared" si="3"/>
        <v>-59125.266144000008</v>
      </c>
      <c r="D16" s="25">
        <f t="shared" si="3"/>
        <v>-60307.771466880004</v>
      </c>
      <c r="E16" s="25">
        <f t="shared" si="3"/>
        <v>-61513.926896217599</v>
      </c>
      <c r="F16" s="25">
        <f t="shared" si="3"/>
        <v>-62744.205434141957</v>
      </c>
      <c r="G16" s="25">
        <f t="shared" si="3"/>
        <v>-63999.089542824797</v>
      </c>
      <c r="H16" s="25">
        <f t="shared" si="3"/>
        <v>-65279.071333681299</v>
      </c>
      <c r="I16" s="25">
        <f t="shared" si="3"/>
        <v>-66584.652760354904</v>
      </c>
      <c r="J16" s="25">
        <f t="shared" si="3"/>
        <v>-67916.345815562017</v>
      </c>
      <c r="K16" s="26">
        <f t="shared" si="3"/>
        <v>-69274.672731873259</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656</v>
      </c>
      <c r="B19" s="25">
        <f>-('Part VI-Revenues &amp; Expenses'!P157-'Part VI-Revenues &amp; Expenses'!P147)</f>
        <v>-389266</v>
      </c>
      <c r="C19" s="25">
        <f t="shared" ref="C19:K19" si="4">$B$19*(1+$B$6)^(C13-1)</f>
        <v>-400943.98</v>
      </c>
      <c r="D19" s="25">
        <f t="shared" si="4"/>
        <v>-412972.29939999996</v>
      </c>
      <c r="E19" s="25">
        <f t="shared" si="4"/>
        <v>-425361.46838199999</v>
      </c>
      <c r="F19" s="25">
        <f t="shared" si="4"/>
        <v>-438122.31243345997</v>
      </c>
      <c r="G19" s="25">
        <f t="shared" si="4"/>
        <v>-451265.98180646374</v>
      </c>
      <c r="H19" s="25">
        <f t="shared" si="4"/>
        <v>-464803.9612606577</v>
      </c>
      <c r="I19" s="25">
        <f t="shared" si="4"/>
        <v>-478748.08009847743</v>
      </c>
      <c r="J19" s="25">
        <f t="shared" si="4"/>
        <v>-493110.5225014317</v>
      </c>
      <c r="K19" s="26">
        <f t="shared" si="4"/>
        <v>-507903.83817647467</v>
      </c>
      <c r="M19" s="1756"/>
      <c r="N19" s="1757"/>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-46207</v>
      </c>
      <c r="C20" s="25">
        <f>IF(AND('Part VII-Pro Forma'!$G$8="Yes",'Part VII-Pro Forma'!$G$9="Yes"),"Choose One!",IF('Part VII-Pro Forma'!$G$8="Yes",ROUND((-$K$8*(1+'Part VII-Pro Forma'!$B$6)^('Part VII-Pro Forma'!C13-1)),),IF('Part VII-Pro Forma'!$G$9="Yes",ROUND((-(SUM(C14:C17)*'Part VII-Pro Forma'!$K$9)),),"Choose mgt fee")))</f>
        <v>-47593</v>
      </c>
      <c r="D20" s="25">
        <f>IF(AND('Part VII-Pro Forma'!$G$8="Yes",'Part VII-Pro Forma'!$G$9="Yes"),"Choose One!",IF('Part VII-Pro Forma'!$G$8="Yes",ROUND((-$K$8*(1+'Part VII-Pro Forma'!$B$6)^('Part VII-Pro Forma'!D13-1)),),IF('Part VII-Pro Forma'!$G$9="Yes",ROUND((-(SUM(D14:D17)*'Part VII-Pro Forma'!$K$9)),),"Choose mgt fee")))</f>
        <v>-49021</v>
      </c>
      <c r="E20" s="25">
        <f>IF(AND('Part VII-Pro Forma'!$G$8="Yes",'Part VII-Pro Forma'!$G$9="Yes"),"Choose One!",IF('Part VII-Pro Forma'!$G$8="Yes",ROUND((-$K$8*(1+'Part VII-Pro Forma'!$B$6)^('Part VII-Pro Forma'!E13-1)),),IF('Part VII-Pro Forma'!$G$9="Yes",ROUND((-(SUM(E14:E17)*'Part VII-Pro Forma'!$K$9)),),"Choose mgt fee")))</f>
        <v>-50492</v>
      </c>
      <c r="F20" s="25">
        <f>IF(AND('Part VII-Pro Forma'!$G$8="Yes",'Part VII-Pro Forma'!$G$9="Yes"),"Choose One!",IF('Part VII-Pro Forma'!$G$8="Yes",ROUND((-$K$8*(1+'Part VII-Pro Forma'!$B$6)^('Part VII-Pro Forma'!F13-1)),),IF('Part VII-Pro Forma'!$G$9="Yes",ROUND((-(SUM(F14:F17)*'Part VII-Pro Forma'!$K$9)),),"Choose mgt fee")))</f>
        <v>-52006</v>
      </c>
      <c r="G20" s="25">
        <f>IF(AND('Part VII-Pro Forma'!$G$8="Yes",'Part VII-Pro Forma'!$G$9="Yes"),"Choose One!",IF('Part VII-Pro Forma'!$G$8="Yes",ROUND((-$K$8*(1+'Part VII-Pro Forma'!$B$6)^('Part VII-Pro Forma'!G13-1)),),IF('Part VII-Pro Forma'!$G$9="Yes",ROUND((-(SUM(G14:G17)*'Part VII-Pro Forma'!$K$9)),),"Choose mgt fee")))</f>
        <v>-53567</v>
      </c>
      <c r="H20" s="25">
        <f>IF(AND('Part VII-Pro Forma'!$G$8="Yes",'Part VII-Pro Forma'!$G$9="Yes"),"Choose One!",IF('Part VII-Pro Forma'!$G$8="Yes",ROUND((-$K$8*(1+'Part VII-Pro Forma'!$B$6)^('Part VII-Pro Forma'!H13-1)),),IF('Part VII-Pro Forma'!$G$9="Yes",ROUND((-(SUM(H14:H17)*'Part VII-Pro Forma'!$K$9)),),"Choose mgt fee")))</f>
        <v>-55174</v>
      </c>
      <c r="I20" s="25">
        <f>IF(AND('Part VII-Pro Forma'!$G$8="Yes",'Part VII-Pro Forma'!$G$9="Yes"),"Choose One!",IF('Part VII-Pro Forma'!$G$8="Yes",ROUND((-$K$8*(1+'Part VII-Pro Forma'!$B$6)^('Part VII-Pro Forma'!I13-1)),),IF('Part VII-Pro Forma'!$G$9="Yes",ROUND((-(SUM(I14:I17)*'Part VII-Pro Forma'!$K$9)),),"Choose mgt fee")))</f>
        <v>-56829</v>
      </c>
      <c r="J20" s="25">
        <f>IF(AND('Part VII-Pro Forma'!$G$8="Yes",'Part VII-Pro Forma'!$G$9="Yes"),"Choose One!",IF('Part VII-Pro Forma'!$G$8="Yes",ROUND((-$K$8*(1+'Part VII-Pro Forma'!$B$6)^('Part VII-Pro Forma'!J13-1)),),IF('Part VII-Pro Forma'!$G$9="Yes",ROUND((-(SUM(J14:J17)*'Part VII-Pro Forma'!$K$9)),),"Choose mgt fee")))</f>
        <v>-58534</v>
      </c>
      <c r="K20" s="25">
        <f>IF(AND('Part VII-Pro Forma'!$G$8="Yes",'Part VII-Pro Forma'!$G$9="Yes"),"Choose One!",IF('Part VII-Pro Forma'!$G$8="Yes",ROUND((-$K$8*(1+'Part VII-Pro Forma'!$B$6)^('Part VII-Pro Forma'!K13-1)),),IF('Part VII-Pro Forma'!$G$9="Yes",ROUND((-(SUM(K14:K17)*'Part VII-Pro Forma'!$K$9)),),"Choose mgt fee")))</f>
        <v>-60290</v>
      </c>
      <c r="M20" s="1756"/>
      <c r="N20" s="1757"/>
    </row>
    <row r="21" spans="1:14" ht="13.15" customHeight="1">
      <c r="A21" s="24" t="s">
        <v>1279</v>
      </c>
      <c r="B21" s="25">
        <f>-('Part VI-Revenues &amp; Expenses'!P160)</f>
        <v>-46200</v>
      </c>
      <c r="C21" s="25">
        <f t="shared" ref="C21:K21" si="5">$B$21*(1+$B$7)^(C13-1)</f>
        <v>-47586</v>
      </c>
      <c r="D21" s="25">
        <f t="shared" si="5"/>
        <v>-49013.579999999994</v>
      </c>
      <c r="E21" s="25">
        <f t="shared" si="5"/>
        <v>-50483.987399999998</v>
      </c>
      <c r="F21" s="25">
        <f t="shared" si="5"/>
        <v>-51998.507021999998</v>
      </c>
      <c r="G21" s="25">
        <f t="shared" si="5"/>
        <v>-53558.462232659993</v>
      </c>
      <c r="H21" s="25">
        <f t="shared" si="5"/>
        <v>-55165.216099639794</v>
      </c>
      <c r="I21" s="25">
        <f t="shared" si="5"/>
        <v>-56820.172582628991</v>
      </c>
      <c r="J21" s="25">
        <f t="shared" si="5"/>
        <v>-58524.777760107856</v>
      </c>
      <c r="K21" s="26">
        <f t="shared" si="5"/>
        <v>-60280.521092911091</v>
      </c>
      <c r="M21" s="1756"/>
      <c r="N21" s="1757"/>
    </row>
    <row r="22" spans="1:14" ht="13.15" customHeight="1">
      <c r="A22" s="24" t="s">
        <v>1280</v>
      </c>
      <c r="B22" s="25">
        <f t="shared" ref="B22:K22" si="6">SUM(B14:B21)</f>
        <v>288446.01279999991</v>
      </c>
      <c r="C22" s="25">
        <f t="shared" si="6"/>
        <v>289398.41305600002</v>
      </c>
      <c r="D22" s="25">
        <f t="shared" si="6"/>
        <v>290224.94151711999</v>
      </c>
      <c r="E22" s="25">
        <f t="shared" si="6"/>
        <v>290919.00155346235</v>
      </c>
      <c r="F22" s="25">
        <f t="shared" si="6"/>
        <v>291474.76702671172</v>
      </c>
      <c r="G22" s="25">
        <f t="shared" si="6"/>
        <v>291882.17417269142</v>
      </c>
      <c r="H22" s="25">
        <f t="shared" si="6"/>
        <v>292135.91321575391</v>
      </c>
      <c r="I22" s="25">
        <f t="shared" si="6"/>
        <v>292227.41970646579</v>
      </c>
      <c r="J22" s="25">
        <f t="shared" si="6"/>
        <v>292147.86557378422</v>
      </c>
      <c r="K22" s="26">
        <f t="shared" si="6"/>
        <v>291889.14988264459</v>
      </c>
      <c r="M22" s="1756"/>
      <c r="N22" s="1757"/>
    </row>
    <row r="23" spans="1:14" ht="13.15" customHeight="1">
      <c r="A23" s="522" t="s">
        <v>1700</v>
      </c>
      <c r="B23" s="2197">
        <v>-228501</v>
      </c>
      <c r="C23" s="2197">
        <f>B23</f>
        <v>-228501</v>
      </c>
      <c r="D23" s="2197">
        <f>C23</f>
        <v>-228501</v>
      </c>
      <c r="E23" s="2197">
        <f t="shared" ref="E23:K23" si="7">D23</f>
        <v>-228501</v>
      </c>
      <c r="F23" s="2197">
        <f t="shared" si="7"/>
        <v>-228501</v>
      </c>
      <c r="G23" s="2197">
        <f t="shared" si="7"/>
        <v>-228501</v>
      </c>
      <c r="H23" s="2197">
        <f t="shared" si="7"/>
        <v>-228501</v>
      </c>
      <c r="I23" s="2197">
        <f t="shared" si="7"/>
        <v>-228501</v>
      </c>
      <c r="J23" s="2197">
        <f t="shared" si="7"/>
        <v>-228501</v>
      </c>
      <c r="K23" s="2197">
        <f t="shared" si="7"/>
        <v>-228501</v>
      </c>
      <c r="M23" s="1756"/>
      <c r="N23" s="1757"/>
    </row>
    <row r="24" spans="1:14" ht="13.15" customHeight="1">
      <c r="A24" s="522" t="s">
        <v>1701</v>
      </c>
      <c r="B24" s="2198"/>
      <c r="C24" s="2198"/>
      <c r="D24" s="2198"/>
      <c r="E24" s="2198"/>
      <c r="F24" s="2198"/>
      <c r="G24" s="2198"/>
      <c r="H24" s="2198"/>
      <c r="I24" s="2198"/>
      <c r="J24" s="2198"/>
      <c r="K24" s="2198"/>
      <c r="M24" s="1756"/>
      <c r="N24" s="1757"/>
    </row>
    <row r="25" spans="1:14" ht="13.15" customHeight="1">
      <c r="A25" s="522" t="s">
        <v>1702</v>
      </c>
      <c r="B25" s="2198">
        <f>IF('Part III-Sources of Funds'!$M$34="", 0,-'Part III-Sources of Funds'!$M$34)</f>
        <v>0</v>
      </c>
      <c r="C25" s="2198">
        <f>IF('Part III-Sources of Funds'!$M$34="", 0,-'Part III-Sources of Funds'!$M$34)</f>
        <v>0</v>
      </c>
      <c r="D25" s="2198">
        <f>IF('Part III-Sources of Funds'!$M$34="", 0,-'Part III-Sources of Funds'!$M$34)</f>
        <v>0</v>
      </c>
      <c r="E25" s="2198">
        <f>IF('Part III-Sources of Funds'!$M$34="", 0,-'Part III-Sources of Funds'!$M$34)</f>
        <v>0</v>
      </c>
      <c r="F25" s="2198">
        <f>IF('Part III-Sources of Funds'!$M$34="", 0,-'Part III-Sources of Funds'!$M$34)</f>
        <v>0</v>
      </c>
      <c r="G25" s="2198">
        <f>IF('Part III-Sources of Funds'!$M$34="", 0,-'Part III-Sources of Funds'!$M$34)</f>
        <v>0</v>
      </c>
      <c r="H25" s="2198">
        <f>IF('Part III-Sources of Funds'!$M$34="", 0,-'Part III-Sources of Funds'!$M$34)</f>
        <v>0</v>
      </c>
      <c r="I25" s="2198">
        <f>IF('Part III-Sources of Funds'!$M$34="", 0,-'Part III-Sources of Funds'!$M$34)</f>
        <v>0</v>
      </c>
      <c r="J25" s="2198">
        <f>IF('Part III-Sources of Funds'!$M$34="", 0,-'Part III-Sources of Funds'!$M$34)</f>
        <v>0</v>
      </c>
      <c r="K25" s="2198">
        <f>IF('Part III-Sources of Funds'!$M$34="", 0,-'Part III-Sources of Funds'!$M$34)</f>
        <v>0</v>
      </c>
      <c r="M25" s="1756"/>
      <c r="N25" s="1757"/>
    </row>
    <row r="26" spans="1:14" ht="13.15" customHeight="1">
      <c r="A26" s="24" t="s">
        <v>836</v>
      </c>
      <c r="B26" s="2198">
        <f>IF('Part III-Sources of Funds'!$M$35="", 0,-'Part III-Sources of Funds'!$M$35)</f>
        <v>-9649.1856133941019</v>
      </c>
      <c r="C26" s="2198">
        <f>IF('Part III-Sources of Funds'!$M$35="", 0,-'Part III-Sources of Funds'!$M$35)</f>
        <v>-9649.1856133941019</v>
      </c>
      <c r="D26" s="2198">
        <f>IF('Part III-Sources of Funds'!$M$35="", 0,-'Part III-Sources of Funds'!$M$35)</f>
        <v>-9649.1856133941019</v>
      </c>
      <c r="E26" s="2198">
        <f>IF('Part III-Sources of Funds'!$M$35="", 0,-'Part III-Sources of Funds'!$M$35)</f>
        <v>-9649.1856133941019</v>
      </c>
      <c r="F26" s="2198">
        <f>IF('Part III-Sources of Funds'!$M$35="", 0,-'Part III-Sources of Funds'!$M$35)</f>
        <v>-9649.1856133941019</v>
      </c>
      <c r="G26" s="2198">
        <f>IF('Part III-Sources of Funds'!$M$35="", 0,-'Part III-Sources of Funds'!$M$35)</f>
        <v>-9649.1856133941019</v>
      </c>
      <c r="H26" s="2198">
        <f>IF('Part III-Sources of Funds'!$M$35="", 0,-'Part III-Sources of Funds'!$M$35)</f>
        <v>-9649.1856133941019</v>
      </c>
      <c r="I26" s="2198">
        <f>IF('Part III-Sources of Funds'!$M$35="", 0,-'Part III-Sources of Funds'!$M$35)</f>
        <v>-9649.1856133941019</v>
      </c>
      <c r="J26" s="2198">
        <f>IF('Part III-Sources of Funds'!$M$35="", 0,-'Part III-Sources of Funds'!$M$35)</f>
        <v>-9649.1856133941019</v>
      </c>
      <c r="K26" s="2198">
        <f>IF('Part III-Sources of Funds'!$M$35="", 0,-'Part III-Sources of Funds'!$M$35)</f>
        <v>-9649.1856133941019</v>
      </c>
      <c r="M26" s="1756"/>
      <c r="N26" s="1757"/>
    </row>
    <row r="27" spans="1:14" ht="13.15" customHeight="1">
      <c r="A27" s="24" t="s">
        <v>815</v>
      </c>
      <c r="B27" s="2199"/>
      <c r="C27" s="2199"/>
      <c r="D27" s="2199"/>
      <c r="E27" s="2199"/>
      <c r="F27" s="2199"/>
      <c r="G27" s="2199"/>
      <c r="H27" s="2199"/>
      <c r="I27" s="2199"/>
      <c r="J27" s="2199"/>
      <c r="K27" s="2199"/>
      <c r="M27" s="1756"/>
      <c r="N27" s="1757"/>
    </row>
    <row r="28" spans="1:14" ht="13.15" customHeight="1">
      <c r="A28" s="24" t="s">
        <v>1235</v>
      </c>
      <c r="B28" s="2198">
        <f>-9900-9900</f>
        <v>-19800</v>
      </c>
      <c r="C28" s="2198">
        <f>-10197-10197</f>
        <v>-20394</v>
      </c>
      <c r="D28" s="2198">
        <f>-10503-10503</f>
        <v>-21006</v>
      </c>
      <c r="E28" s="2198">
        <f>-10818-10818</f>
        <v>-21636</v>
      </c>
      <c r="F28" s="2198">
        <f>-11143-11143</f>
        <v>-22286</v>
      </c>
      <c r="G28" s="2198">
        <f>-11477-11477</f>
        <v>-22954</v>
      </c>
      <c r="H28" s="2198">
        <f>-11821-11821</f>
        <v>-23642</v>
      </c>
      <c r="I28" s="2198">
        <f>-12176-12176</f>
        <v>-24352</v>
      </c>
      <c r="J28" s="2198">
        <f>-12541-12541</f>
        <v>-25082</v>
      </c>
      <c r="K28" s="2198">
        <f>-12917-12917</f>
        <v>-25834</v>
      </c>
      <c r="M28" s="1756"/>
      <c r="N28" s="1757"/>
    </row>
    <row r="29" spans="1:14" ht="13.15" customHeight="1">
      <c r="A29" s="24" t="s">
        <v>1281</v>
      </c>
      <c r="B29" s="2200">
        <v>-30496</v>
      </c>
      <c r="C29" s="2200">
        <f>-55979-B29</f>
        <v>-25483</v>
      </c>
      <c r="D29" s="2200">
        <f>IF('Part III-Sources of Funds'!$M$37="", 0,-'Part III-Sources of Funds'!$M$37)</f>
        <v>0</v>
      </c>
      <c r="E29" s="2200">
        <f>IF('Part III-Sources of Funds'!$M$37="", 0,-'Part III-Sources of Funds'!$M$37)</f>
        <v>0</v>
      </c>
      <c r="F29" s="2200">
        <f>IF('Part III-Sources of Funds'!$M$37="", 0,-'Part III-Sources of Funds'!$M$37)</f>
        <v>0</v>
      </c>
      <c r="G29" s="2200">
        <f>IF('Part III-Sources of Funds'!$M$37="", 0,-'Part III-Sources of Funds'!$M$37)</f>
        <v>0</v>
      </c>
      <c r="H29" s="2200">
        <f>IF('Part III-Sources of Funds'!$M$37="", 0,-'Part III-Sources of Funds'!$M$37)</f>
        <v>0</v>
      </c>
      <c r="I29" s="2200">
        <f>IF('Part III-Sources of Funds'!$M$37="", 0,-'Part III-Sources of Funds'!$M$37)</f>
        <v>0</v>
      </c>
      <c r="J29" s="2200">
        <f>IF('Part III-Sources of Funds'!$M$37="", 0,-'Part III-Sources of Funds'!$M$37)</f>
        <v>0</v>
      </c>
      <c r="K29" s="2200">
        <f>IF('Part III-Sources of Funds'!$M$37="", 0,-'Part III-Sources of Funds'!$M$37)</f>
        <v>0</v>
      </c>
      <c r="M29" s="1756"/>
      <c r="N29" s="1757"/>
    </row>
    <row r="30" spans="1:14" ht="13.15" customHeight="1">
      <c r="A30" s="24" t="s">
        <v>1236</v>
      </c>
      <c r="B30" s="25">
        <f t="shared" ref="B30:K30" si="8">SUM(B22:B29)</f>
        <v>-0.17281339419423603</v>
      </c>
      <c r="C30" s="25">
        <f t="shared" si="8"/>
        <v>5371.2274426059157</v>
      </c>
      <c r="D30" s="25">
        <f t="shared" si="8"/>
        <v>31068.755903725891</v>
      </c>
      <c r="E30" s="25">
        <f t="shared" si="8"/>
        <v>31132.815940068249</v>
      </c>
      <c r="F30" s="25">
        <f t="shared" si="8"/>
        <v>31038.581413317617</v>
      </c>
      <c r="G30" s="25">
        <f t="shared" si="8"/>
        <v>30777.988559297315</v>
      </c>
      <c r="H30" s="25">
        <f t="shared" si="8"/>
        <v>30343.72760235981</v>
      </c>
      <c r="I30" s="25">
        <f t="shared" si="8"/>
        <v>29725.234093071689</v>
      </c>
      <c r="J30" s="25">
        <f t="shared" si="8"/>
        <v>28915.679960390116</v>
      </c>
      <c r="K30" s="26">
        <f t="shared" si="8"/>
        <v>27904.964269250486</v>
      </c>
      <c r="M30" s="1756"/>
      <c r="N30" s="1757"/>
    </row>
    <row r="31" spans="1:14" ht="13.15" customHeight="1">
      <c r="A31" s="24" t="str">
        <f>IF('Part III-Sources of Funds'!$E$32 = "Neither", "", "DCR Mortgage A")</f>
        <v>DCR Mortgage A</v>
      </c>
      <c r="B31" s="27">
        <f>IF(B23=0,"",-B22/B23)</f>
        <v>1.2623402645940276</v>
      </c>
      <c r="C31" s="27">
        <f t="shared" ref="C31:K31" si="9">IF(C23=0,"",-C22/C23)</f>
        <v>1.2665082999899344</v>
      </c>
      <c r="D31" s="27">
        <f t="shared" si="9"/>
        <v>1.270125476549862</v>
      </c>
      <c r="E31" s="27">
        <f t="shared" si="9"/>
        <v>1.2731629251227012</v>
      </c>
      <c r="F31" s="27">
        <f t="shared" si="9"/>
        <v>1.2755951484969945</v>
      </c>
      <c r="G31" s="27">
        <f t="shared" si="9"/>
        <v>1.2773781041338612</v>
      </c>
      <c r="H31" s="27">
        <f t="shared" si="9"/>
        <v>1.278488554604811</v>
      </c>
      <c r="I31" s="27">
        <f t="shared" si="9"/>
        <v>1.2788890188947348</v>
      </c>
      <c r="J31" s="27">
        <f t="shared" si="9"/>
        <v>1.2785408622884986</v>
      </c>
      <c r="K31" s="28">
        <f t="shared" si="9"/>
        <v>1.2774086322713887</v>
      </c>
      <c r="M31" s="1756"/>
      <c r="N31" s="175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6"/>
      <c r="N32" s="175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6"/>
      <c r="N33" s="1757"/>
    </row>
    <row r="34" spans="1:14" ht="13.15" customHeight="1">
      <c r="A34" s="24" t="s">
        <v>837</v>
      </c>
      <c r="B34" s="27">
        <f t="shared" ref="B34:K34" si="12">IF(OR(B26=0,AND(B23=0,B24=0,B25=0,B26=0)),"",-B22/(B23+B24+B25+B26))</f>
        <v>1.2111937349830773</v>
      </c>
      <c r="C34" s="27">
        <f t="shared" si="12"/>
        <v>1.2151928931342542</v>
      </c>
      <c r="D34" s="27">
        <f t="shared" si="12"/>
        <v>1.2186635117230709</v>
      </c>
      <c r="E34" s="27">
        <f t="shared" si="12"/>
        <v>1.2215778912964257</v>
      </c>
      <c r="F34" s="27">
        <f t="shared" si="12"/>
        <v>1.2239115677192172</v>
      </c>
      <c r="G34" s="27">
        <f t="shared" si="12"/>
        <v>1.2256222829341994</v>
      </c>
      <c r="H34" s="27">
        <f t="shared" si="12"/>
        <v>1.2266877410290942</v>
      </c>
      <c r="I34" s="27">
        <f t="shared" si="12"/>
        <v>1.2270719796156659</v>
      </c>
      <c r="J34" s="27">
        <f t="shared" si="12"/>
        <v>1.226737929350382</v>
      </c>
      <c r="K34" s="28">
        <f t="shared" si="12"/>
        <v>1.2256515741561869</v>
      </c>
      <c r="M34" s="1756"/>
      <c r="N34" s="1757"/>
    </row>
    <row r="35" spans="1:14" ht="13.15" customHeight="1">
      <c r="A35" s="24" t="s">
        <v>822</v>
      </c>
      <c r="B35" s="320">
        <f>IF(OR(B20="Choose mgt fee",B20="Choose One!"),"",(B14+B15+B16+B17+B18) / -(B19+B20+B21))</f>
        <v>1.5988419795172242</v>
      </c>
      <c r="C35" s="320">
        <f t="shared" ref="C35:K35" si="13">IF(OR(C20="Choose mgt fee",C20="Choose One!"),"",(C14+C15+C16+C17+C18) / -(C19+C20+C21))</f>
        <v>1.5833199120427763</v>
      </c>
      <c r="D35" s="320">
        <f t="shared" si="13"/>
        <v>1.567947229708313</v>
      </c>
      <c r="E35" s="320">
        <f t="shared" si="13"/>
        <v>1.5527233495500197</v>
      </c>
      <c r="F35" s="320">
        <f t="shared" si="13"/>
        <v>1.5376505211815272</v>
      </c>
      <c r="G35" s="320">
        <f t="shared" si="13"/>
        <v>1.5227196392218372</v>
      </c>
      <c r="H35" s="320">
        <f t="shared" si="13"/>
        <v>1.5079359796225937</v>
      </c>
      <c r="I35" s="320">
        <f t="shared" si="13"/>
        <v>1.4932963790495073</v>
      </c>
      <c r="J35" s="320">
        <f t="shared" si="13"/>
        <v>1.4787980408856356</v>
      </c>
      <c r="K35" s="321">
        <f t="shared" si="13"/>
        <v>1.464440824955805</v>
      </c>
      <c r="M35" s="1756"/>
      <c r="N35" s="1757"/>
    </row>
    <row r="36" spans="1:14" ht="13.15" customHeight="1">
      <c r="A36" s="522" t="s">
        <v>2802</v>
      </c>
      <c r="B36" s="2201">
        <f>IF('Part III-Sources of Funds'!$H$32="","",-FV('Part III-Sources of Funds'!$J$32/12,12,B23/12,'Part III-Sources of Funds'!$H$32))</f>
        <v>3136998.0356674851</v>
      </c>
      <c r="C36" s="2201">
        <f>IF('Part III-Sources of Funds'!$H$32="","",-FV('Part III-Sources of Funds'!$J$32/12,12,C23/12,B36))</f>
        <v>3095590.5155165233</v>
      </c>
      <c r="D36" s="2201">
        <f>IF('Part III-Sources of Funds'!$H$32="","",-FV('Part III-Sources of Funds'!$J$32/12,12,D23/12,C36))</f>
        <v>3051629.0701279151</v>
      </c>
      <c r="E36" s="2201">
        <f>IF('Part III-Sources of Funds'!$H$32="","",-FV('Part III-Sources of Funds'!$J$32/12,12,E23/12,D36))</f>
        <v>3004956.1789813368</v>
      </c>
      <c r="F36" s="2201">
        <f>IF('Part III-Sources of Funds'!$H$32="","",-FV('Part III-Sources of Funds'!$J$32/12,12,F23/12,E36))</f>
        <v>2955404.6060354477</v>
      </c>
      <c r="G36" s="2201">
        <f>IF('Part III-Sources of Funds'!$H$32="","",-FV('Part III-Sources of Funds'!$J$32/12,12,G23/12,F36))</f>
        <v>2902796.8004958122</v>
      </c>
      <c r="H36" s="2201">
        <f>IF('Part III-Sources of Funds'!$H$32="","",-FV('Part III-Sources of Funds'!$J$32/12,12,H23/12,G36))</f>
        <v>2846944.2606234988</v>
      </c>
      <c r="I36" s="2201">
        <f>IF('Part III-Sources of Funds'!$H$32="","",-FV('Part III-Sources of Funds'!$J$32/12,12,I23/12,H36))</f>
        <v>2787646.8583047865</v>
      </c>
      <c r="J36" s="2201">
        <f>IF('Part III-Sources of Funds'!$H$32="","",-FV('Part III-Sources of Funds'!$J$32/12,12,J23/12,I36))</f>
        <v>2724692.1219618074</v>
      </c>
      <c r="K36" s="2201">
        <f>IF('Part III-Sources of Funds'!$H$32="","",-FV('Part III-Sources of Funds'!$J$32/12,12,K23/12,J36))</f>
        <v>2657854.4752346869</v>
      </c>
      <c r="M36" s="1756"/>
      <c r="N36" s="1757"/>
    </row>
    <row r="37" spans="1:14" ht="13.15" customHeight="1">
      <c r="A37" s="522" t="s">
        <v>2803</v>
      </c>
      <c r="B37" s="2198" t="str">
        <f>IF('Part III-Sources of Funds'!$H$33="","",-FV('Part III-Sources of Funds'!$J$33/12,12,B24/12,'Part III-Sources of Funds'!$H$33))</f>
        <v/>
      </c>
      <c r="C37" s="2198" t="str">
        <f>IF('Part III-Sources of Funds'!$H$33="","",-FV('Part III-Sources of Funds'!$J$33/12,12,C24/12,B37))</f>
        <v/>
      </c>
      <c r="D37" s="2198" t="str">
        <f>IF('Part III-Sources of Funds'!$H$33="","",-FV('Part III-Sources of Funds'!$J$33/12,12,D24/12,C37))</f>
        <v/>
      </c>
      <c r="E37" s="2198" t="str">
        <f>IF('Part III-Sources of Funds'!$H$33="","",-FV('Part III-Sources of Funds'!$J$33/12,12,E24/12,D37))</f>
        <v/>
      </c>
      <c r="F37" s="2198" t="str">
        <f>IF('Part III-Sources of Funds'!$H$33="","",-FV('Part III-Sources of Funds'!$J$33/12,12,F24/12,E37))</f>
        <v/>
      </c>
      <c r="G37" s="2198" t="str">
        <f>IF('Part III-Sources of Funds'!$H$33="","",-FV('Part III-Sources of Funds'!$J$33/12,12,G24/12,F37))</f>
        <v/>
      </c>
      <c r="H37" s="2198" t="str">
        <f>IF('Part III-Sources of Funds'!$H$33="","",-FV('Part III-Sources of Funds'!$J$33/12,12,H24/12,G37))</f>
        <v/>
      </c>
      <c r="I37" s="2198" t="str">
        <f>IF('Part III-Sources of Funds'!$H$33="","",-FV('Part III-Sources of Funds'!$J$33/12,12,I24/12,H37))</f>
        <v/>
      </c>
      <c r="J37" s="2198" t="str">
        <f>IF('Part III-Sources of Funds'!$H$33="","",-FV('Part III-Sources of Funds'!$J$33/12,12,J24/12,I37))</f>
        <v/>
      </c>
      <c r="K37" s="2198" t="str">
        <f>IF('Part III-Sources of Funds'!$H$33="","",-FV('Part III-Sources of Funds'!$J$33/12,12,K24/12,J37))</f>
        <v/>
      </c>
      <c r="M37" s="1756"/>
      <c r="N37" s="1757"/>
    </row>
    <row r="38" spans="1:14" ht="13.15" customHeight="1">
      <c r="A38" s="522" t="s">
        <v>2804</v>
      </c>
      <c r="B38" s="2198" t="str">
        <f>IF('Part III-Sources of Funds'!$H$34="","",-FV('Part III-Sources of Funds'!$J$34/12,12,B25/12,'Part III-Sources of Funds'!$H$34))</f>
        <v/>
      </c>
      <c r="C38" s="2198" t="str">
        <f>IF('Part III-Sources of Funds'!$H$34="","",-FV('Part III-Sources of Funds'!$J$34/12,12,C25/12,B38))</f>
        <v/>
      </c>
      <c r="D38" s="2198" t="str">
        <f>IF('Part III-Sources of Funds'!$H$34="","",-FV('Part III-Sources of Funds'!$J$34/12,12,D25/12,C38))</f>
        <v/>
      </c>
      <c r="E38" s="2198" t="str">
        <f>IF('Part III-Sources of Funds'!$H$34="","",-FV('Part III-Sources of Funds'!$J$34/12,12,E25/12,D38))</f>
        <v/>
      </c>
      <c r="F38" s="2198" t="str">
        <f>IF('Part III-Sources of Funds'!$H$34="","",-FV('Part III-Sources of Funds'!$J$34/12,12,F25/12,E38))</f>
        <v/>
      </c>
      <c r="G38" s="2198" t="str">
        <f>IF('Part III-Sources of Funds'!$H$34="","",-FV('Part III-Sources of Funds'!$J$34/12,12,G25/12,F38))</f>
        <v/>
      </c>
      <c r="H38" s="2198" t="str">
        <f>IF('Part III-Sources of Funds'!$H$34="","",-FV('Part III-Sources of Funds'!$J$34/12,12,H25/12,G38))</f>
        <v/>
      </c>
      <c r="I38" s="2198" t="str">
        <f>IF('Part III-Sources of Funds'!$H$34="","",-FV('Part III-Sources of Funds'!$J$34/12,12,I25/12,H38))</f>
        <v/>
      </c>
      <c r="J38" s="2198" t="str">
        <f>IF('Part III-Sources of Funds'!$H$34="","",-FV('Part III-Sources of Funds'!$J$34/12,12,J25/12,I38))</f>
        <v/>
      </c>
      <c r="K38" s="2198" t="str">
        <f>IF('Part III-Sources of Funds'!$H$34="","",-FV('Part III-Sources of Funds'!$J$34/12,12,K25/12,J38))</f>
        <v/>
      </c>
      <c r="M38" s="1756"/>
      <c r="N38" s="1757"/>
    </row>
    <row r="39" spans="1:14" ht="13.15" customHeight="1">
      <c r="A39" s="24" t="s">
        <v>838</v>
      </c>
      <c r="B39" s="2198">
        <f>IF('Part III-Sources of Funds'!$H$35="","",-FV('Part III-Sources of Funds'!$J$35/12,12,B24/12,'Part III-Sources of Funds'!$H$35))</f>
        <v>252511.49022179513</v>
      </c>
      <c r="C39" s="2198">
        <f>IF('Part III-Sources of Funds'!$H$35="","",-FV('Part III-Sources of Funds'!$J$35/12,12,C26/12,B39))</f>
        <v>245354.67664959672</v>
      </c>
      <c r="D39" s="2198">
        <f>IF('Part III-Sources of Funds'!$H$35="","",-FV('Part III-Sources of Funds'!$J$35/12,12,D26/12,C39))</f>
        <v>238125.96600817514</v>
      </c>
      <c r="E39" s="2198">
        <f>IF('Part III-Sources of Funds'!$H$35="","",-FV('Part III-Sources of Funds'!$J$35/12,12,E26/12,D39))</f>
        <v>230824.63602238509</v>
      </c>
      <c r="F39" s="2198">
        <f>IF('Part III-Sources of Funds'!$H$35="","",-FV('Part III-Sources of Funds'!$J$35/12,12,F26/12,E39))</f>
        <v>223449.95716113341</v>
      </c>
      <c r="G39" s="2198">
        <f>IF('Part III-Sources of Funds'!$H$35="","",-FV('Part III-Sources of Funds'!$J$35/12,12,G26/12,F39))</f>
        <v>216001.19256448609</v>
      </c>
      <c r="H39" s="2198">
        <f>IF('Part III-Sources of Funds'!$H$35="","",-FV('Part III-Sources of Funds'!$J$35/12,12,H26/12,G39))</f>
        <v>208477.59797004302</v>
      </c>
      <c r="I39" s="2198">
        <f>IF('Part III-Sources of Funds'!$H$35="","",-FV('Part III-Sources of Funds'!$J$35/12,12,I26/12,H39))</f>
        <v>200878.42163857317</v>
      </c>
      <c r="J39" s="2198">
        <f>IF('Part III-Sources of Funds'!$H$35="","",-FV('Part III-Sources of Funds'!$J$35/12,12,J26/12,I39))</f>
        <v>193202.9042789026</v>
      </c>
      <c r="K39" s="2198">
        <f>IF('Part III-Sources of Funds'!$H$35="","",-FV('Part III-Sources of Funds'!$J$35/12,12,K26/12,J39))</f>
        <v>185450.27897204788</v>
      </c>
      <c r="M39" s="1756"/>
      <c r="N39" s="1757"/>
    </row>
    <row r="40" spans="1:14" ht="13.15" customHeight="1">
      <c r="A40" s="29" t="s">
        <v>1316</v>
      </c>
      <c r="B40" s="2200">
        <v>-25483</v>
      </c>
      <c r="C40" s="2200">
        <v>0</v>
      </c>
      <c r="D40" s="2200">
        <f>IF('Part III-Sources of Funds'!$H$37="","",-FV('Part III-Sources of Funds'!$J$37/12,12,D29/12,C40))</f>
        <v>0</v>
      </c>
      <c r="E40" s="2200">
        <f>IF('Part III-Sources of Funds'!$H$37="","",-FV('Part III-Sources of Funds'!$J$37/12,12,E29/12,D40))</f>
        <v>0</v>
      </c>
      <c r="F40" s="2200">
        <f>IF('Part III-Sources of Funds'!$H$37="","",-FV('Part III-Sources of Funds'!$J$37/12,12,F29/12,E40))</f>
        <v>0</v>
      </c>
      <c r="G40" s="2200">
        <v>0</v>
      </c>
      <c r="H40" s="2200">
        <v>0</v>
      </c>
      <c r="I40" s="2200">
        <v>0</v>
      </c>
      <c r="J40" s="2200">
        <v>0</v>
      </c>
      <c r="K40" s="2200">
        <v>0</v>
      </c>
      <c r="M40" s="1764"/>
      <c r="N40" s="176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5" t="s">
        <v>2807</v>
      </c>
      <c r="N42" s="1275"/>
    </row>
    <row r="43" spans="1:14" ht="13.15" customHeight="1">
      <c r="A43" s="21" t="s">
        <v>2566</v>
      </c>
      <c r="B43" s="22">
        <f t="shared" ref="B43:K43" si="15">$B$14*(1+$B$5)^(B42-1)</f>
        <v>989638.18188390357</v>
      </c>
      <c r="C43" s="22">
        <f t="shared" si="15"/>
        <v>1009430.9455215815</v>
      </c>
      <c r="D43" s="22">
        <f t="shared" si="15"/>
        <v>1029619.5644320132</v>
      </c>
      <c r="E43" s="22">
        <f t="shared" si="15"/>
        <v>1050211.9557206535</v>
      </c>
      <c r="F43" s="22">
        <f t="shared" si="15"/>
        <v>1071216.1948350666</v>
      </c>
      <c r="G43" s="22">
        <f t="shared" si="15"/>
        <v>1092640.5187317675</v>
      </c>
      <c r="H43" s="22">
        <f t="shared" si="15"/>
        <v>1114493.3291064033</v>
      </c>
      <c r="I43" s="22">
        <f t="shared" si="15"/>
        <v>1136783.1956885313</v>
      </c>
      <c r="J43" s="22">
        <f t="shared" si="15"/>
        <v>1159518.8596023018</v>
      </c>
      <c r="K43" s="23">
        <f t="shared" si="15"/>
        <v>1182709.2367943479</v>
      </c>
      <c r="M43" s="1748"/>
      <c r="N43" s="1749"/>
    </row>
    <row r="44" spans="1:14" ht="13.15" customHeight="1">
      <c r="A44" s="24" t="s">
        <v>1079</v>
      </c>
      <c r="B44" s="25">
        <f t="shared" ref="B44:K44" si="16">$B$15*(1+$B$5)^(B42-1)</f>
        <v>19792.763637678072</v>
      </c>
      <c r="C44" s="25">
        <f t="shared" si="16"/>
        <v>20188.618910431629</v>
      </c>
      <c r="D44" s="25">
        <f t="shared" si="16"/>
        <v>20592.391288640265</v>
      </c>
      <c r="E44" s="25">
        <f t="shared" si="16"/>
        <v>21004.239114413071</v>
      </c>
      <c r="F44" s="25">
        <f t="shared" si="16"/>
        <v>21424.323896701335</v>
      </c>
      <c r="G44" s="25">
        <f t="shared" si="16"/>
        <v>21852.810374635355</v>
      </c>
      <c r="H44" s="25">
        <f t="shared" si="16"/>
        <v>22289.866582128067</v>
      </c>
      <c r="I44" s="25">
        <f t="shared" si="16"/>
        <v>22735.66391377063</v>
      </c>
      <c r="J44" s="25">
        <f t="shared" si="16"/>
        <v>23190.377192046039</v>
      </c>
      <c r="K44" s="26">
        <f t="shared" si="16"/>
        <v>23654.18473588696</v>
      </c>
      <c r="M44" s="1756"/>
      <c r="N44" s="1757"/>
    </row>
    <row r="45" spans="1:14" ht="13.15" customHeight="1">
      <c r="A45" s="24" t="s">
        <v>2567</v>
      </c>
      <c r="B45" s="25">
        <f t="shared" ref="B45:K45" si="17">-(B43+B44)*$B$8</f>
        <v>-70660.166186510731</v>
      </c>
      <c r="C45" s="25">
        <f t="shared" si="17"/>
        <v>-72073.369510240926</v>
      </c>
      <c r="D45" s="25">
        <f t="shared" si="17"/>
        <v>-73514.836900445749</v>
      </c>
      <c r="E45" s="25">
        <f t="shared" si="17"/>
        <v>-74985.133638454659</v>
      </c>
      <c r="F45" s="25">
        <f t="shared" si="17"/>
        <v>-76484.836311223771</v>
      </c>
      <c r="G45" s="25">
        <f t="shared" si="17"/>
        <v>-78014.5330374482</v>
      </c>
      <c r="H45" s="25">
        <f t="shared" si="17"/>
        <v>-79574.8236981972</v>
      </c>
      <c r="I45" s="25">
        <f t="shared" si="17"/>
        <v>-81166.32017216114</v>
      </c>
      <c r="J45" s="25">
        <f t="shared" si="17"/>
        <v>-82789.646575604362</v>
      </c>
      <c r="K45" s="26">
        <f t="shared" si="17"/>
        <v>-84445.439507116447</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656</v>
      </c>
      <c r="B48" s="25">
        <f t="shared" ref="B48:K48" si="18">$B$19*(1+$B$6)^(B42-1)</f>
        <v>-523140.9533217689</v>
      </c>
      <c r="C48" s="25">
        <f t="shared" si="18"/>
        <v>-538835.18192142202</v>
      </c>
      <c r="D48" s="25">
        <f t="shared" si="18"/>
        <v>-555000.23737906455</v>
      </c>
      <c r="E48" s="25">
        <f t="shared" si="18"/>
        <v>-571650.24450043647</v>
      </c>
      <c r="F48" s="25">
        <f t="shared" si="18"/>
        <v>-588799.7518354496</v>
      </c>
      <c r="G48" s="25">
        <f t="shared" si="18"/>
        <v>-606463.74439051317</v>
      </c>
      <c r="H48" s="25">
        <f t="shared" si="18"/>
        <v>-624657.65672222839</v>
      </c>
      <c r="I48" s="25">
        <f t="shared" si="18"/>
        <v>-643397.38642389525</v>
      </c>
      <c r="J48" s="25">
        <f t="shared" si="18"/>
        <v>-662699.30801661219</v>
      </c>
      <c r="K48" s="26">
        <f t="shared" si="18"/>
        <v>-682580.28725711047</v>
      </c>
      <c r="M48" s="1756"/>
      <c r="N48" s="1757"/>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-62098</v>
      </c>
      <c r="C49" s="25">
        <f>IF(AND('Part VII-Pro Forma'!$G$8="Yes",'Part VII-Pro Forma'!$G$9="Yes"),"Choose One!",IF('Part VII-Pro Forma'!$G$8="Yes",ROUND((-$K$8*(1+'Part VII-Pro Forma'!$B$6)^('Part VII-Pro Forma'!C42-1)),),IF('Part VII-Pro Forma'!$G$9="Yes",ROUND((-(SUM(C43:C46)*'Part VII-Pro Forma'!$K$9)),),"Choose mgt fee")))</f>
        <v>-63961</v>
      </c>
      <c r="D49" s="25">
        <f>IF(AND('Part VII-Pro Forma'!$G$8="Yes",'Part VII-Pro Forma'!$G$9="Yes"),"Choose One!",IF('Part VII-Pro Forma'!$G$8="Yes",ROUND((-$K$8*(1+'Part VII-Pro Forma'!$B$6)^('Part VII-Pro Forma'!D42-1)),),IF('Part VII-Pro Forma'!$G$9="Yes",ROUND((-(SUM(D43:D46)*'Part VII-Pro Forma'!$K$9)),),"Choose mgt fee")))</f>
        <v>-65880</v>
      </c>
      <c r="E49" s="25">
        <f>IF(AND('Part VII-Pro Forma'!$G$8="Yes",'Part VII-Pro Forma'!$G$9="Yes"),"Choose One!",IF('Part VII-Pro Forma'!$G$8="Yes",ROUND((-$K$8*(1+'Part VII-Pro Forma'!$B$6)^('Part VII-Pro Forma'!E42-1)),),IF('Part VII-Pro Forma'!$G$9="Yes",ROUND((-(SUM(E43:E46)*'Part VII-Pro Forma'!$K$9)),),"Choose mgt fee")))</f>
        <v>-67857</v>
      </c>
      <c r="F49" s="25">
        <f>IF(AND('Part VII-Pro Forma'!$G$8="Yes",'Part VII-Pro Forma'!$G$9="Yes"),"Choose One!",IF('Part VII-Pro Forma'!$G$8="Yes",ROUND((-$K$8*(1+'Part VII-Pro Forma'!$B$6)^('Part VII-Pro Forma'!F42-1)),),IF('Part VII-Pro Forma'!$G$9="Yes",ROUND((-(SUM(F43:F46)*'Part VII-Pro Forma'!$K$9)),),"Choose mgt fee")))</f>
        <v>-69892</v>
      </c>
      <c r="G49" s="25">
        <f>IF(AND('Part VII-Pro Forma'!$G$8="Yes",'Part VII-Pro Forma'!$G$9="Yes"),"Choose One!",IF('Part VII-Pro Forma'!$G$8="Yes",ROUND((-$K$8*(1+'Part VII-Pro Forma'!$B$6)^('Part VII-Pro Forma'!G42-1)),),IF('Part VII-Pro Forma'!$G$9="Yes",ROUND((-(SUM(G43:G46)*'Part VII-Pro Forma'!$K$9)),),"Choose mgt fee")))</f>
        <v>-71989</v>
      </c>
      <c r="H49" s="25">
        <f>IF(AND('Part VII-Pro Forma'!$G$8="Yes",'Part VII-Pro Forma'!$G$9="Yes"),"Choose One!",IF('Part VII-Pro Forma'!$G$8="Yes",ROUND((-$K$8*(1+'Part VII-Pro Forma'!$B$6)^('Part VII-Pro Forma'!H42-1)),),IF('Part VII-Pro Forma'!$G$9="Yes",ROUND((-(SUM(H43:H46)*'Part VII-Pro Forma'!$K$9)),),"Choose mgt fee")))</f>
        <v>-74149</v>
      </c>
      <c r="I49" s="25">
        <f>IF(AND('Part VII-Pro Forma'!$G$8="Yes",'Part VII-Pro Forma'!$G$9="Yes"),"Choose One!",IF('Part VII-Pro Forma'!$G$8="Yes",ROUND((-$K$8*(1+'Part VII-Pro Forma'!$B$6)^('Part VII-Pro Forma'!I42-1)),),IF('Part VII-Pro Forma'!$G$9="Yes",ROUND((-(SUM(I43:I46)*'Part VII-Pro Forma'!$K$9)),),"Choose mgt fee")))</f>
        <v>-76373</v>
      </c>
      <c r="J49" s="25">
        <f>IF(AND('Part VII-Pro Forma'!$G$8="Yes",'Part VII-Pro Forma'!$G$9="Yes"),"Choose One!",IF('Part VII-Pro Forma'!$G$8="Yes",ROUND((-$K$8*(1+'Part VII-Pro Forma'!$B$6)^('Part VII-Pro Forma'!J42-1)),),IF('Part VII-Pro Forma'!$G$9="Yes",ROUND((-(SUM(J43:J46)*'Part VII-Pro Forma'!$K$9)),),"Choose mgt fee")))</f>
        <v>-78664</v>
      </c>
      <c r="K49" s="25">
        <f>IF(AND('Part VII-Pro Forma'!$G$8="Yes",'Part VII-Pro Forma'!$G$9="Yes"),"Choose One!",IF('Part VII-Pro Forma'!$G$8="Yes",ROUND((-$K$8*(1+'Part VII-Pro Forma'!$B$6)^('Part VII-Pro Forma'!K42-1)),),IF('Part VII-Pro Forma'!$G$9="Yes",ROUND((-(SUM(K43:K46)*'Part VII-Pro Forma'!$K$9)),),"Choose mgt fee")))</f>
        <v>-81024</v>
      </c>
      <c r="M49" s="1756"/>
      <c r="N49" s="1757"/>
    </row>
    <row r="50" spans="1:14" ht="13.15" customHeight="1">
      <c r="A50" s="24" t="s">
        <v>1279</v>
      </c>
      <c r="B50" s="25">
        <f t="shared" ref="B50:K50" si="19">$B$21*(1+$B$7)^(B42-1)</f>
        <v>-62088.936725698426</v>
      </c>
      <c r="C50" s="25">
        <f t="shared" si="19"/>
        <v>-63951.604827469382</v>
      </c>
      <c r="D50" s="25">
        <f t="shared" si="19"/>
        <v>-65870.15297229345</v>
      </c>
      <c r="E50" s="25">
        <f t="shared" si="19"/>
        <v>-67846.257561462247</v>
      </c>
      <c r="F50" s="25">
        <f t="shared" si="19"/>
        <v>-69881.645288306128</v>
      </c>
      <c r="G50" s="25">
        <f t="shared" si="19"/>
        <v>-71978.094646955316</v>
      </c>
      <c r="H50" s="25">
        <f t="shared" si="19"/>
        <v>-74137.437486363968</v>
      </c>
      <c r="I50" s="25">
        <f t="shared" si="19"/>
        <v>-76361.560610954883</v>
      </c>
      <c r="J50" s="25">
        <f t="shared" si="19"/>
        <v>-78652.407429283528</v>
      </c>
      <c r="K50" s="26">
        <f t="shared" si="19"/>
        <v>-81011.97965216203</v>
      </c>
      <c r="M50" s="1756"/>
      <c r="N50" s="1757"/>
    </row>
    <row r="51" spans="1:14" ht="13.15" customHeight="1">
      <c r="A51" s="24" t="s">
        <v>1280</v>
      </c>
      <c r="B51" s="25">
        <f t="shared" ref="B51:K51" si="20">SUM(B43:B50)</f>
        <v>291442.88928760367</v>
      </c>
      <c r="C51" s="25">
        <f t="shared" si="20"/>
        <v>290798.40817288071</v>
      </c>
      <c r="D51" s="25">
        <f t="shared" si="20"/>
        <v>289946.72846884979</v>
      </c>
      <c r="E51" s="25">
        <f t="shared" si="20"/>
        <v>288877.55913471326</v>
      </c>
      <c r="F51" s="25">
        <f t="shared" si="20"/>
        <v>287582.2852967885</v>
      </c>
      <c r="G51" s="25">
        <f t="shared" si="20"/>
        <v>286047.95703148615</v>
      </c>
      <c r="H51" s="25">
        <f t="shared" si="20"/>
        <v>284264.27778174164</v>
      </c>
      <c r="I51" s="25">
        <f t="shared" si="20"/>
        <v>282220.59239529062</v>
      </c>
      <c r="J51" s="25">
        <f t="shared" si="20"/>
        <v>279903.8747728478</v>
      </c>
      <c r="K51" s="26">
        <f t="shared" si="20"/>
        <v>277301.715113846</v>
      </c>
      <c r="M51" s="1756"/>
      <c r="N51" s="1757"/>
    </row>
    <row r="52" spans="1:14" ht="13.15" customHeight="1">
      <c r="A52" s="24" t="str">
        <f>$A23</f>
        <v>Mortgage A</v>
      </c>
      <c r="B52" s="2197">
        <f>K23</f>
        <v>-228501</v>
      </c>
      <c r="C52" s="2197">
        <f>B52</f>
        <v>-228501</v>
      </c>
      <c r="D52" s="2197">
        <f>C52</f>
        <v>-228501</v>
      </c>
      <c r="E52" s="2197">
        <f t="shared" ref="E52:K52" si="21">D52</f>
        <v>-228501</v>
      </c>
      <c r="F52" s="2197">
        <f t="shared" si="21"/>
        <v>-228501</v>
      </c>
      <c r="G52" s="2197">
        <f t="shared" si="21"/>
        <v>-228501</v>
      </c>
      <c r="H52" s="2197">
        <f t="shared" si="21"/>
        <v>-228501</v>
      </c>
      <c r="I52" s="2197">
        <f t="shared" si="21"/>
        <v>-228501</v>
      </c>
      <c r="J52" s="2197">
        <f t="shared" si="21"/>
        <v>-228501</v>
      </c>
      <c r="K52" s="2197">
        <f t="shared" si="21"/>
        <v>-228501</v>
      </c>
      <c r="M52" s="1756"/>
      <c r="N52" s="1757"/>
    </row>
    <row r="53" spans="1:14" ht="13.15" customHeight="1">
      <c r="A53" s="24" t="str">
        <f>$A24</f>
        <v>Mortgage B</v>
      </c>
      <c r="B53" s="2198"/>
      <c r="C53" s="2198"/>
      <c r="D53" s="2198"/>
      <c r="E53" s="2198"/>
      <c r="F53" s="2198"/>
      <c r="G53" s="2198"/>
      <c r="H53" s="2198"/>
      <c r="I53" s="2198"/>
      <c r="J53" s="2198"/>
      <c r="K53" s="2198"/>
      <c r="M53" s="1756"/>
      <c r="N53" s="1757"/>
    </row>
    <row r="54" spans="1:14" ht="13.15" customHeight="1">
      <c r="A54" s="24" t="str">
        <f>$A25</f>
        <v>Mortgage C</v>
      </c>
      <c r="B54" s="2198">
        <f>IF('Part III-Sources of Funds'!$M$34="", 0,-'Part III-Sources of Funds'!$M$34)</f>
        <v>0</v>
      </c>
      <c r="C54" s="2198">
        <f>IF('Part III-Sources of Funds'!$M$34="", 0,-'Part III-Sources of Funds'!$M$34)</f>
        <v>0</v>
      </c>
      <c r="D54" s="2198">
        <f>IF('Part III-Sources of Funds'!$M$34="", 0,-'Part III-Sources of Funds'!$M$34)</f>
        <v>0</v>
      </c>
      <c r="E54" s="2198">
        <f>IF('Part III-Sources of Funds'!$M$34="", 0,-'Part III-Sources of Funds'!$M$34)</f>
        <v>0</v>
      </c>
      <c r="F54" s="2198">
        <f>IF('Part III-Sources of Funds'!$M$34="", 0,-'Part III-Sources of Funds'!$M$34)</f>
        <v>0</v>
      </c>
      <c r="G54" s="2198">
        <f>IF('Part III-Sources of Funds'!$M$34="", 0,-'Part III-Sources of Funds'!$M$34)</f>
        <v>0</v>
      </c>
      <c r="H54" s="2198">
        <f>IF('Part III-Sources of Funds'!$M$34="", 0,-'Part III-Sources of Funds'!$M$34)</f>
        <v>0</v>
      </c>
      <c r="I54" s="2198">
        <f>IF('Part III-Sources of Funds'!$M$34="", 0,-'Part III-Sources of Funds'!$M$34)</f>
        <v>0</v>
      </c>
      <c r="J54" s="2198">
        <f>IF('Part III-Sources of Funds'!$M$34="", 0,-'Part III-Sources of Funds'!$M$34)</f>
        <v>0</v>
      </c>
      <c r="K54" s="2198">
        <f>IF('Part III-Sources of Funds'!$M$34="", 0,-'Part III-Sources of Funds'!$M$34)</f>
        <v>0</v>
      </c>
      <c r="M54" s="1756"/>
      <c r="N54" s="1757"/>
    </row>
    <row r="55" spans="1:14" ht="13.15" customHeight="1">
      <c r="A55" s="24" t="str">
        <f>$A26</f>
        <v>D/S Other Source</v>
      </c>
      <c r="B55" s="2198">
        <f>IF('Part III-Sources of Funds'!$M$35="", 0,-'Part III-Sources of Funds'!$M$35)</f>
        <v>-9649.1856133941019</v>
      </c>
      <c r="C55" s="2198">
        <f>IF('Part III-Sources of Funds'!$M$35="", 0,-'Part III-Sources of Funds'!$M$35)</f>
        <v>-9649.1856133941019</v>
      </c>
      <c r="D55" s="2198">
        <f>IF('Part III-Sources of Funds'!$M$35="", 0,-'Part III-Sources of Funds'!$M$35)</f>
        <v>-9649.1856133941019</v>
      </c>
      <c r="E55" s="2198">
        <f>IF('Part III-Sources of Funds'!$M$35="", 0,-'Part III-Sources of Funds'!$M$35)</f>
        <v>-9649.1856133941019</v>
      </c>
      <c r="F55" s="2198">
        <f>IF('Part III-Sources of Funds'!$M$35="", 0,-'Part III-Sources of Funds'!$M$35)</f>
        <v>-9649.1856133941019</v>
      </c>
      <c r="G55" s="2198">
        <f>IF('Part III-Sources of Funds'!$M$35="", 0,-'Part III-Sources of Funds'!$M$35)</f>
        <v>-9649.1856133941019</v>
      </c>
      <c r="H55" s="2198">
        <f>IF('Part III-Sources of Funds'!$M$35="", 0,-'Part III-Sources of Funds'!$M$35)</f>
        <v>-9649.1856133941019</v>
      </c>
      <c r="I55" s="2198">
        <f>IF('Part III-Sources of Funds'!$M$35="", 0,-'Part III-Sources of Funds'!$M$35)</f>
        <v>-9649.1856133941019</v>
      </c>
      <c r="J55" s="2198">
        <f>IF('Part III-Sources of Funds'!$M$35="", 0,-'Part III-Sources of Funds'!$M$35)</f>
        <v>-9649.1856133941019</v>
      </c>
      <c r="K55" s="2198">
        <f>IF('Part III-Sources of Funds'!$M$35="", 0,-'Part III-Sources of Funds'!$M$35)</f>
        <v>-9649.1856133941019</v>
      </c>
      <c r="M55" s="1756"/>
      <c r="N55" s="1757"/>
    </row>
    <row r="56" spans="1:14" ht="13.15" customHeight="1">
      <c r="A56" s="24" t="s">
        <v>815</v>
      </c>
      <c r="B56" s="2199"/>
      <c r="C56" s="2199"/>
      <c r="D56" s="2199"/>
      <c r="E56" s="2199"/>
      <c r="F56" s="2199"/>
      <c r="G56" s="2199"/>
      <c r="H56" s="2199"/>
      <c r="I56" s="2199"/>
      <c r="J56" s="2199"/>
      <c r="K56" s="2199"/>
      <c r="M56" s="1756"/>
      <c r="N56" s="1757"/>
    </row>
    <row r="57" spans="1:14" ht="13.15" customHeight="1">
      <c r="A57" s="24" t="s">
        <v>1235</v>
      </c>
      <c r="B57" s="2198">
        <f>-13305-13305</f>
        <v>-26610</v>
      </c>
      <c r="C57" s="2198">
        <f>-13704-13704</f>
        <v>-27408</v>
      </c>
      <c r="D57" s="2198">
        <f>-14115-14115</f>
        <v>-28230</v>
      </c>
      <c r="E57" s="2198">
        <f>-14538-14538</f>
        <v>-29076</v>
      </c>
      <c r="F57" s="2198">
        <f>-14975-14975</f>
        <v>-29950</v>
      </c>
      <c r="G57" s="2198">
        <v>0</v>
      </c>
      <c r="H57" s="2198">
        <v>0</v>
      </c>
      <c r="I57" s="2198">
        <v>0</v>
      </c>
      <c r="J57" s="2198">
        <v>0</v>
      </c>
      <c r="K57" s="2198">
        <v>0</v>
      </c>
      <c r="M57" s="1756"/>
      <c r="N57" s="1757"/>
    </row>
    <row r="58" spans="1:14" ht="13.15" customHeight="1">
      <c r="A58" s="24" t="s">
        <v>1281</v>
      </c>
      <c r="B58" s="2200">
        <f>IF('Part III-Sources of Funds'!$M$37="", 0,-'Part III-Sources of Funds'!$M$37)</f>
        <v>0</v>
      </c>
      <c r="C58" s="2200">
        <f>IF('Part III-Sources of Funds'!$M$37="", 0,-'Part III-Sources of Funds'!$M$37)</f>
        <v>0</v>
      </c>
      <c r="D58" s="2200">
        <f>IF('Part III-Sources of Funds'!$M$37="", 0,-'Part III-Sources of Funds'!$M$37)</f>
        <v>0</v>
      </c>
      <c r="E58" s="2200">
        <f>IF('Part III-Sources of Funds'!$M$37="", 0,-'Part III-Sources of Funds'!$M$37)</f>
        <v>0</v>
      </c>
      <c r="F58" s="2200">
        <f>IF('Part III-Sources of Funds'!$M$37="", 0,-'Part III-Sources of Funds'!$M$37)</f>
        <v>0</v>
      </c>
      <c r="G58" s="2202">
        <v>0</v>
      </c>
      <c r="H58" s="2200">
        <f>IF('Part III-Sources of Funds'!$M$37="", 0,-'Part III-Sources of Funds'!$M$37)</f>
        <v>0</v>
      </c>
      <c r="I58" s="2200">
        <f>IF('Part III-Sources of Funds'!$M$37="", 0,-'Part III-Sources of Funds'!$M$37)</f>
        <v>0</v>
      </c>
      <c r="J58" s="2200">
        <f>IF('Part III-Sources of Funds'!$M$37="", 0,-'Part III-Sources of Funds'!$M$37)</f>
        <v>0</v>
      </c>
      <c r="K58" s="2198">
        <f>IF('Part III-Sources of Funds'!$M$37="", 0,-'Part III-Sources of Funds'!$M$37)</f>
        <v>0</v>
      </c>
      <c r="M58" s="1756"/>
      <c r="N58" s="1757"/>
    </row>
    <row r="59" spans="1:14" ht="13.15" customHeight="1">
      <c r="A59" s="24" t="s">
        <v>1236</v>
      </c>
      <c r="B59" s="25">
        <f t="shared" ref="B59:K59" si="22">SUM(B51:B58)</f>
        <v>26682.703674209566</v>
      </c>
      <c r="C59" s="25">
        <f t="shared" si="22"/>
        <v>25240.222559486603</v>
      </c>
      <c r="D59" s="25">
        <f t="shared" si="22"/>
        <v>23566.542855455686</v>
      </c>
      <c r="E59" s="25">
        <f t="shared" si="22"/>
        <v>21651.373521319154</v>
      </c>
      <c r="F59" s="25">
        <f t="shared" si="22"/>
        <v>19482.099683394394</v>
      </c>
      <c r="G59" s="25">
        <f t="shared" si="22"/>
        <v>47897.771418092045</v>
      </c>
      <c r="H59" s="25">
        <f t="shared" si="22"/>
        <v>46114.092168347532</v>
      </c>
      <c r="I59" s="25">
        <f t="shared" si="22"/>
        <v>44070.406781896512</v>
      </c>
      <c r="J59" s="25">
        <f t="shared" si="22"/>
        <v>41753.689159453701</v>
      </c>
      <c r="K59" s="23">
        <f t="shared" si="22"/>
        <v>39151.529500451899</v>
      </c>
      <c r="M59" s="1756"/>
      <c r="N59" s="1757"/>
    </row>
    <row r="60" spans="1:14" ht="13.15" customHeight="1">
      <c r="A60" s="24" t="str">
        <f>$A31</f>
        <v>DCR Mortgage A</v>
      </c>
      <c r="B60" s="27">
        <f>IF(B52=0,"",-B51/B52)</f>
        <v>1.2754556404024651</v>
      </c>
      <c r="C60" s="27">
        <f t="shared" ref="C60:K60" si="23">IF(C52=0,"",-C51/C52)</f>
        <v>1.2726351664670208</v>
      </c>
      <c r="D60" s="27">
        <f t="shared" si="23"/>
        <v>1.2689079193038533</v>
      </c>
      <c r="E60" s="27">
        <f t="shared" si="23"/>
        <v>1.2642288617323918</v>
      </c>
      <c r="F60" s="27">
        <f t="shared" si="23"/>
        <v>1.2585602920634418</v>
      </c>
      <c r="G60" s="27">
        <f t="shared" si="23"/>
        <v>1.2518455369188151</v>
      </c>
      <c r="H60" s="27">
        <f t="shared" si="23"/>
        <v>1.2440395349768343</v>
      </c>
      <c r="I60" s="27">
        <f t="shared" si="23"/>
        <v>1.2350956555782715</v>
      </c>
      <c r="J60" s="27">
        <f t="shared" si="23"/>
        <v>1.2249568919735485</v>
      </c>
      <c r="K60" s="28">
        <f t="shared" si="23"/>
        <v>1.2135689345510348</v>
      </c>
      <c r="M60" s="1756"/>
      <c r="N60" s="175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6"/>
      <c r="N61" s="175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6"/>
      <c r="N62" s="1757"/>
    </row>
    <row r="63" spans="1:14" ht="13.15" customHeight="1">
      <c r="A63" s="24" t="str">
        <f>$A34</f>
        <v>DCR Other Source</v>
      </c>
      <c r="B63" s="27">
        <f>IF(OR(B55=0,AND(B52=0,B53=0,B54=0,B55=0)),"",-B51/(B52+B53+B54+B55))</f>
        <v>1.2237777121061049</v>
      </c>
      <c r="C63" s="27">
        <f t="shared" ref="C63:K63" si="26">IF(OR(C55=0,AND(C52=0,C53=0,C54=0,C55=0)),"",-C51/(C52+C53+C54+C55))</f>
        <v>1.2210715159590686</v>
      </c>
      <c r="D63" s="27">
        <f t="shared" si="26"/>
        <v>1.2174952865228525</v>
      </c>
      <c r="E63" s="27">
        <f t="shared" si="26"/>
        <v>1.2130058113986459</v>
      </c>
      <c r="F63" s="27">
        <f t="shared" si="26"/>
        <v>1.2075669164652301</v>
      </c>
      <c r="G63" s="27">
        <f t="shared" si="26"/>
        <v>1.2011242245926603</v>
      </c>
      <c r="H63" s="27">
        <f t="shared" si="26"/>
        <v>1.1936345002191506</v>
      </c>
      <c r="I63" s="27">
        <f t="shared" si="26"/>
        <v>1.1850530020305721</v>
      </c>
      <c r="J63" s="27">
        <f t="shared" si="26"/>
        <v>1.1753250330328753</v>
      </c>
      <c r="K63" s="28">
        <f t="shared" si="26"/>
        <v>1.1643984840894028</v>
      </c>
      <c r="M63" s="1756"/>
      <c r="N63" s="1757"/>
    </row>
    <row r="64" spans="1:14" ht="13.15" customHeight="1">
      <c r="A64" s="24" t="s">
        <v>822</v>
      </c>
      <c r="B64" s="320">
        <f>IF(OR(B49="Choose mgt fee",B49="Choose One!"),"",(B43+B44+B45+B46+B47) / -(B48+B49+B50))</f>
        <v>1.4502245210942986</v>
      </c>
      <c r="C64" s="320">
        <f t="shared" ref="C64:K64" si="27">IF(OR(C49="Choose mgt fee",C49="Choose One!"),"",(C43+C44+C45+C46+C47) / -(C48+C49+C50))</f>
        <v>1.4361445421376411</v>
      </c>
      <c r="D64" s="320">
        <f t="shared" si="27"/>
        <v>1.4222010391876241</v>
      </c>
      <c r="E64" s="320">
        <f t="shared" si="27"/>
        <v>1.4083920674636516</v>
      </c>
      <c r="F64" s="320">
        <f t="shared" si="27"/>
        <v>1.3947197172338419</v>
      </c>
      <c r="G64" s="320">
        <f t="shared" si="27"/>
        <v>1.3811783073819066</v>
      </c>
      <c r="H64" s="320">
        <f t="shared" si="27"/>
        <v>1.3677682252981003</v>
      </c>
      <c r="I64" s="320">
        <f t="shared" si="27"/>
        <v>1.3544897217683649</v>
      </c>
      <c r="J64" s="320">
        <f t="shared" si="27"/>
        <v>1.3413396469123107</v>
      </c>
      <c r="K64" s="321">
        <f t="shared" si="27"/>
        <v>1.3283168060787933</v>
      </c>
      <c r="M64" s="1756"/>
      <c r="N64" s="1757"/>
    </row>
    <row r="65" spans="1:14" ht="13.15" customHeight="1">
      <c r="A65" s="522" t="s">
        <v>2802</v>
      </c>
      <c r="B65" s="2201">
        <f>IF('Part III-Sources of Funds'!$H$32="","",-FV('Part III-Sources of Funds'!$J$32/12,12,B52/12,K36))</f>
        <v>2586894.4287072653</v>
      </c>
      <c r="C65" s="2201">
        <f>IF('Part III-Sources of Funds'!$H$32="","",-FV('Part III-Sources of Funds'!$J$32/12,12,C52/12,B65))</f>
        <v>2511557.7217802294</v>
      </c>
      <c r="D65" s="2201">
        <f>IF('Part III-Sources of Funds'!$H$32="","",-FV('Part III-Sources of Funds'!$J$32/12,12,D52/12,C65))</f>
        <v>2431574.4116168572</v>
      </c>
      <c r="E65" s="2201">
        <f>IF('Part III-Sources of Funds'!$H$32="","",-FV('Part III-Sources of Funds'!$J$32/12,12,E52/12,D65))</f>
        <v>2346657.9058969286</v>
      </c>
      <c r="F65" s="2201">
        <f>IF('Part III-Sources of Funds'!$H$32="","",-FV('Part III-Sources of Funds'!$J$32/12,12,F52/12,E65))</f>
        <v>2256503.9359130156</v>
      </c>
      <c r="G65" s="2201">
        <f>IF('Part III-Sources of Funds'!$H$32="","",-FV('Part III-Sources of Funds'!$J$32/12,12,G52/12,F65))</f>
        <v>2160789.4663295974</v>
      </c>
      <c r="H65" s="2201">
        <f>IF('Part III-Sources of Funds'!$H$32="","",-FV('Part III-Sources of Funds'!$J$32/12,12,H52/12,G65))</f>
        <v>2059171.5376985031</v>
      </c>
      <c r="I65" s="2201">
        <f>IF('Part III-Sources of Funds'!$H$32="","",-FV('Part III-Sources of Funds'!$J$32/12,12,I52/12,H65))</f>
        <v>1951286.0375832403</v>
      </c>
      <c r="J65" s="2201">
        <f>IF('Part III-Sources of Funds'!$H$32="","",-FV('Part III-Sources of Funds'!$J$32/12,12,J52/12,I65))</f>
        <v>1836746.3958889609</v>
      </c>
      <c r="K65" s="2201">
        <f>IF('Part III-Sources of Funds'!$H$32="","",-FV('Part III-Sources of Funds'!$J$32/12,12,K52/12,J65))</f>
        <v>1715142.1997232349</v>
      </c>
      <c r="M65" s="1756"/>
      <c r="N65" s="1757"/>
    </row>
    <row r="66" spans="1:14" ht="13.15" customHeight="1">
      <c r="A66" s="522" t="s">
        <v>2803</v>
      </c>
      <c r="B66" s="2198" t="str">
        <f>IF('Part III-Sources of Funds'!$H$33="","",-FV('Part III-Sources of Funds'!$J$33/12,12,B53/12,K37))</f>
        <v/>
      </c>
      <c r="C66" s="2198" t="str">
        <f>IF('Part III-Sources of Funds'!$H$33="","",-FV('Part III-Sources of Funds'!$J$33/12,12,C53/12,B66))</f>
        <v/>
      </c>
      <c r="D66" s="2198" t="str">
        <f>IF('Part III-Sources of Funds'!$H$33="","",-FV('Part III-Sources of Funds'!$J$33/12,12,D53/12,C66))</f>
        <v/>
      </c>
      <c r="E66" s="2198" t="str">
        <f>IF('Part III-Sources of Funds'!$H$33="","",-FV('Part III-Sources of Funds'!$J$33/12,12,E53/12,D66))</f>
        <v/>
      </c>
      <c r="F66" s="2198" t="str">
        <f>IF('Part III-Sources of Funds'!$H$33="","",-FV('Part III-Sources of Funds'!$J$33/12,12,F53/12,E66))</f>
        <v/>
      </c>
      <c r="G66" s="2198" t="str">
        <f>IF('Part III-Sources of Funds'!$H$33="","",-FV('Part III-Sources of Funds'!$J$33/12,12,G53/12,F66))</f>
        <v/>
      </c>
      <c r="H66" s="2198" t="str">
        <f>IF('Part III-Sources of Funds'!$H$33="","",-FV('Part III-Sources of Funds'!$J$33/12,12,H53/12,G66))</f>
        <v/>
      </c>
      <c r="I66" s="2198" t="str">
        <f>IF('Part III-Sources of Funds'!$H$33="","",-FV('Part III-Sources of Funds'!$J$33/12,12,I53/12,H66))</f>
        <v/>
      </c>
      <c r="J66" s="2198" t="str">
        <f>IF('Part III-Sources of Funds'!$H$33="","",-FV('Part III-Sources of Funds'!$J$33/12,12,J53/12,I66))</f>
        <v/>
      </c>
      <c r="K66" s="2198" t="str">
        <f>IF('Part III-Sources of Funds'!$H$33="","",-FV('Part III-Sources of Funds'!$J$33/12,12,K53/12,J66))</f>
        <v/>
      </c>
      <c r="M66" s="1756"/>
      <c r="N66" s="1757"/>
    </row>
    <row r="67" spans="1:14" ht="13.15" customHeight="1">
      <c r="A67" s="522" t="s">
        <v>2804</v>
      </c>
      <c r="B67" s="2198" t="str">
        <f>IF('Part III-Sources of Funds'!$H$34="","",-FV('Part III-Sources of Funds'!$J$34/12,12,B54/12,K38))</f>
        <v/>
      </c>
      <c r="C67" s="2198" t="str">
        <f>IF('Part III-Sources of Funds'!$H$34="","",-FV('Part III-Sources of Funds'!$J$34/12,12,C54/12,B67))</f>
        <v/>
      </c>
      <c r="D67" s="2198" t="str">
        <f>IF('Part III-Sources of Funds'!$H$34="","",-FV('Part III-Sources of Funds'!$J$34/12,12,D54/12,C67))</f>
        <v/>
      </c>
      <c r="E67" s="2198" t="str">
        <f>IF('Part III-Sources of Funds'!$H$34="","",-FV('Part III-Sources of Funds'!$J$34/12,12,E54/12,D67))</f>
        <v/>
      </c>
      <c r="F67" s="2198" t="str">
        <f>IF('Part III-Sources of Funds'!$H$34="","",-FV('Part III-Sources of Funds'!$J$34/12,12,F54/12,E67))</f>
        <v/>
      </c>
      <c r="G67" s="2198" t="str">
        <f>IF('Part III-Sources of Funds'!$H$34="","",-FV('Part III-Sources of Funds'!$J$34/12,12,G54/12,F67))</f>
        <v/>
      </c>
      <c r="H67" s="2198" t="str">
        <f>IF('Part III-Sources of Funds'!$H$34="","",-FV('Part III-Sources of Funds'!$J$34/12,12,H54/12,G67))</f>
        <v/>
      </c>
      <c r="I67" s="2198" t="str">
        <f>IF('Part III-Sources of Funds'!$H$34="","",-FV('Part III-Sources of Funds'!$J$34/12,12,I54/12,H67))</f>
        <v/>
      </c>
      <c r="J67" s="2198" t="str">
        <f>IF('Part III-Sources of Funds'!$H$34="","",-FV('Part III-Sources of Funds'!$J$34/12,12,J54/12,I67))</f>
        <v/>
      </c>
      <c r="K67" s="2198" t="str">
        <f>IF('Part III-Sources of Funds'!$H$34="","",-FV('Part III-Sources of Funds'!$J$34/12,12,K54/12,J67))</f>
        <v/>
      </c>
      <c r="M67" s="1756"/>
      <c r="N67" s="1757"/>
    </row>
    <row r="68" spans="1:14" ht="13.15" customHeight="1">
      <c r="A68" s="24" t="s">
        <v>838</v>
      </c>
      <c r="B68" s="2198">
        <f>IF('Part III-Sources of Funds'!$H$35="","",-FV('Part III-Sources of Funds'!$J$35/12,12,B55/12,K39))</f>
        <v>177619.77109458754</v>
      </c>
      <c r="C68" s="2198">
        <f>IF('Part III-Sources of Funds'!$H$35="","",-FV('Part III-Sources of Funds'!$J$35/12,12,C55/12,B68))</f>
        <v>169710.59824126348</v>
      </c>
      <c r="D68" s="2198">
        <f>IF('Part III-Sources of Funds'!$H$35="","",-FV('Part III-Sources of Funds'!$J$35/12,12,D55/12,C68))</f>
        <v>161721.97014680496</v>
      </c>
      <c r="E68" s="2198">
        <f>IF('Part III-Sources of Funds'!$H$35="","",-FV('Part III-Sources of Funds'!$J$35/12,12,E55/12,D68))</f>
        <v>153653.0886069673</v>
      </c>
      <c r="F68" s="2198">
        <f>IF('Part III-Sources of Funds'!$H$35="","",-FV('Part III-Sources of Funds'!$J$35/12,12,F55/12,E68))</f>
        <v>145503.14739877713</v>
      </c>
      <c r="G68" s="2198">
        <f>IF('Part III-Sources of Funds'!$H$35="","",-FV('Part III-Sources of Funds'!$J$35/12,12,G55/12,F68))</f>
        <v>137271.33219997666</v>
      </c>
      <c r="H68" s="2198">
        <f>IF('Part III-Sources of Funds'!$H$35="","",-FV('Part III-Sources of Funds'!$J$35/12,12,H55/12,G68))</f>
        <v>128956.82050765856</v>
      </c>
      <c r="I68" s="2198">
        <f>IF('Part III-Sources of Funds'!$H$35="","",-FV('Part III-Sources of Funds'!$J$35/12,12,I55/12,H68))</f>
        <v>120558.78155608338</v>
      </c>
      <c r="J68" s="2198">
        <f>IF('Part III-Sources of Funds'!$H$35="","",-FV('Part III-Sources of Funds'!$J$35/12,12,J55/12,I68))</f>
        <v>112076.37623367168</v>
      </c>
      <c r="K68" s="2198">
        <f>IF('Part III-Sources of Funds'!$H$35="","",-FV('Part III-Sources of Funds'!$J$35/12,12,K55/12,J68))</f>
        <v>103508.75699916182</v>
      </c>
      <c r="M68" s="1756"/>
      <c r="N68" s="1757"/>
    </row>
    <row r="69" spans="1:14" ht="13.15" customHeight="1">
      <c r="A69" s="29" t="s">
        <v>1316</v>
      </c>
      <c r="B69" s="2200">
        <v>0</v>
      </c>
      <c r="C69" s="2200">
        <v>0</v>
      </c>
      <c r="D69" s="2200">
        <v>0</v>
      </c>
      <c r="E69" s="2200">
        <v>0</v>
      </c>
      <c r="F69" s="2200">
        <v>0</v>
      </c>
      <c r="G69" s="2200">
        <v>0</v>
      </c>
      <c r="H69" s="2200">
        <v>0</v>
      </c>
      <c r="I69" s="2200">
        <v>0</v>
      </c>
      <c r="J69" s="2200">
        <v>0</v>
      </c>
      <c r="K69" s="2200">
        <v>0</v>
      </c>
      <c r="M69" s="1764"/>
      <c r="N69" s="176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5" t="s">
        <v>2808</v>
      </c>
      <c r="N71" s="1275"/>
    </row>
    <row r="72" spans="1:14" ht="13.15" customHeight="1">
      <c r="A72" s="21" t="s">
        <v>2566</v>
      </c>
      <c r="B72" s="22">
        <f t="shared" ref="B72:K72" si="29">$B$14*(1+$B$5)^(B71-1)</f>
        <v>1206363.4215302349</v>
      </c>
      <c r="C72" s="22">
        <f t="shared" si="29"/>
        <v>1230490.6899608395</v>
      </c>
      <c r="D72" s="22">
        <f t="shared" si="29"/>
        <v>1255100.5037600563</v>
      </c>
      <c r="E72" s="22">
        <f t="shared" si="29"/>
        <v>1280202.5138352574</v>
      </c>
      <c r="F72" s="22">
        <f t="shared" si="29"/>
        <v>1305806.5641119624</v>
      </c>
      <c r="G72" s="22">
        <f t="shared" si="29"/>
        <v>1331922.6953942017</v>
      </c>
      <c r="H72" s="22">
        <f t="shared" si="29"/>
        <v>1358561.1493020859</v>
      </c>
      <c r="I72" s="22">
        <f t="shared" si="29"/>
        <v>1385732.3722881274</v>
      </c>
      <c r="J72" s="22">
        <f t="shared" si="29"/>
        <v>1413447.0197338902</v>
      </c>
      <c r="K72" s="23">
        <f t="shared" si="29"/>
        <v>1441715.9601285679</v>
      </c>
      <c r="M72" s="1748"/>
      <c r="N72" s="1749"/>
    </row>
    <row r="73" spans="1:14" ht="13.15" customHeight="1">
      <c r="A73" s="24" t="s">
        <v>1079</v>
      </c>
      <c r="B73" s="25">
        <f t="shared" ref="B73:K73" si="30">$B$15*(1+$B$5)^(B71-1)</f>
        <v>24127.268430604701</v>
      </c>
      <c r="C73" s="25">
        <f t="shared" si="30"/>
        <v>24609.813799216794</v>
      </c>
      <c r="D73" s="25">
        <f t="shared" si="30"/>
        <v>25102.010075201131</v>
      </c>
      <c r="E73" s="25">
        <f t="shared" si="30"/>
        <v>25604.050276705148</v>
      </c>
      <c r="F73" s="25">
        <f t="shared" si="30"/>
        <v>26116.13128223925</v>
      </c>
      <c r="G73" s="25">
        <f t="shared" si="30"/>
        <v>26638.453907884035</v>
      </c>
      <c r="H73" s="25">
        <f t="shared" si="30"/>
        <v>27171.222986041721</v>
      </c>
      <c r="I73" s="25">
        <f t="shared" si="30"/>
        <v>27714.647445762548</v>
      </c>
      <c r="J73" s="25">
        <f t="shared" si="30"/>
        <v>28268.940394677807</v>
      </c>
      <c r="K73" s="26">
        <f t="shared" si="30"/>
        <v>28834.319202571358</v>
      </c>
      <c r="M73" s="1756"/>
      <c r="N73" s="1757"/>
    </row>
    <row r="74" spans="1:14" ht="13.15" customHeight="1">
      <c r="A74" s="24" t="s">
        <v>2567</v>
      </c>
      <c r="B74" s="25">
        <f t="shared" ref="B74:K74" si="31">-(B72+B73)*$B$8</f>
        <v>-86134.348297258766</v>
      </c>
      <c r="C74" s="25">
        <f t="shared" si="31"/>
        <v>-87857.035263203958</v>
      </c>
      <c r="D74" s="25">
        <f t="shared" si="31"/>
        <v>-89614.175968468029</v>
      </c>
      <c r="E74" s="25">
        <f t="shared" si="31"/>
        <v>-91406.459487837375</v>
      </c>
      <c r="F74" s="25">
        <f t="shared" si="31"/>
        <v>-93234.588677594133</v>
      </c>
      <c r="G74" s="25">
        <f t="shared" si="31"/>
        <v>-95099.280451145998</v>
      </c>
      <c r="H74" s="25">
        <f t="shared" si="31"/>
        <v>-97001.266060168942</v>
      </c>
      <c r="I74" s="25">
        <f t="shared" si="31"/>
        <v>-98941.291381372313</v>
      </c>
      <c r="J74" s="25">
        <f t="shared" si="31"/>
        <v>-100920.11720899977</v>
      </c>
      <c r="K74" s="26">
        <f t="shared" si="31"/>
        <v>-102938.51955317977</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656</v>
      </c>
      <c r="B77" s="25">
        <f t="shared" ref="B77:K77" si="32">$B$19*(1+$B$6)^(B71-1)</f>
        <v>-703057.69587482384</v>
      </c>
      <c r="C77" s="25">
        <f t="shared" si="32"/>
        <v>-724149.42675106844</v>
      </c>
      <c r="D77" s="25">
        <f t="shared" si="32"/>
        <v>-745873.90955360059</v>
      </c>
      <c r="E77" s="25">
        <f t="shared" si="32"/>
        <v>-768250.12684020866</v>
      </c>
      <c r="F77" s="25">
        <f t="shared" si="32"/>
        <v>-791297.63064541481</v>
      </c>
      <c r="G77" s="25">
        <f t="shared" si="32"/>
        <v>-815036.55956477718</v>
      </c>
      <c r="H77" s="25">
        <f t="shared" si="32"/>
        <v>-839487.65635172068</v>
      </c>
      <c r="I77" s="25">
        <f t="shared" si="32"/>
        <v>-864672.28604227211</v>
      </c>
      <c r="J77" s="25">
        <f t="shared" si="32"/>
        <v>-890612.45462354028</v>
      </c>
      <c r="K77" s="26">
        <f t="shared" si="32"/>
        <v>-917330.82826224645</v>
      </c>
      <c r="M77" s="1756"/>
      <c r="N77" s="1757"/>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-83455</v>
      </c>
      <c r="C78" s="25">
        <f>IF(AND('Part VII-Pro Forma'!$G$8="Yes",'Part VII-Pro Forma'!$G$9="Yes"),"Choose One!",IF('Part VII-Pro Forma'!$G$8="Yes",ROUND((-$K$8*(1+'Part VII-Pro Forma'!$B$6)^('Part VII-Pro Forma'!C71-1)),),IF('Part VII-Pro Forma'!$G$9="Yes",ROUND((-(SUM(C72:C75)*'Part VII-Pro Forma'!$K$9)),),"Choose mgt fee")))</f>
        <v>-85959</v>
      </c>
      <c r="D78" s="25">
        <f>IF(AND('Part VII-Pro Forma'!$G$8="Yes",'Part VII-Pro Forma'!$G$9="Yes"),"Choose One!",IF('Part VII-Pro Forma'!$G$8="Yes",ROUND((-$K$8*(1+'Part VII-Pro Forma'!$B$6)^('Part VII-Pro Forma'!D71-1)),),IF('Part VII-Pro Forma'!$G$9="Yes",ROUND((-(SUM(D72:D75)*'Part VII-Pro Forma'!$K$9)),),"Choose mgt fee")))</f>
        <v>-88537</v>
      </c>
      <c r="E78" s="25">
        <f>IF(AND('Part VII-Pro Forma'!$G$8="Yes",'Part VII-Pro Forma'!$G$9="Yes"),"Choose One!",IF('Part VII-Pro Forma'!$G$8="Yes",ROUND((-$K$8*(1+'Part VII-Pro Forma'!$B$6)^('Part VII-Pro Forma'!E71-1)),),IF('Part VII-Pro Forma'!$G$9="Yes",ROUND((-(SUM(E72:E75)*'Part VII-Pro Forma'!$K$9)),),"Choose mgt fee")))</f>
        <v>-91194</v>
      </c>
      <c r="F78" s="25">
        <f>IF(AND('Part VII-Pro Forma'!$G$8="Yes",'Part VII-Pro Forma'!$G$9="Yes"),"Choose One!",IF('Part VII-Pro Forma'!$G$8="Yes",ROUND((-$K$8*(1+'Part VII-Pro Forma'!$B$6)^('Part VII-Pro Forma'!F71-1)),),IF('Part VII-Pro Forma'!$G$9="Yes",ROUND((-(SUM(F72:F75)*'Part VII-Pro Forma'!$K$9)),),"Choose mgt fee")))</f>
        <v>-93929</v>
      </c>
      <c r="G78" s="25">
        <f>IF(AND('Part VII-Pro Forma'!$G$8="Yes",'Part VII-Pro Forma'!$G$9="Yes"),"Choose One!",IF('Part VII-Pro Forma'!$G$8="Yes",ROUND((-$K$8*(1+'Part VII-Pro Forma'!$B$6)^('Part VII-Pro Forma'!G71-1)),),IF('Part VII-Pro Forma'!$G$9="Yes",ROUND((-(SUM(G72:G75)*'Part VII-Pro Forma'!$K$9)),),"Choose mgt fee")))</f>
        <v>-96747</v>
      </c>
      <c r="H78" s="25">
        <f>IF(AND('Part VII-Pro Forma'!$G$8="Yes",'Part VII-Pro Forma'!$G$9="Yes"),"Choose One!",IF('Part VII-Pro Forma'!$G$8="Yes",ROUND((-$K$8*(1+'Part VII-Pro Forma'!$B$6)^('Part VII-Pro Forma'!H71-1)),),IF('Part VII-Pro Forma'!$G$9="Yes",ROUND((-(SUM(H72:H75)*'Part VII-Pro Forma'!$K$9)),),"Choose mgt fee")))</f>
        <v>-99650</v>
      </c>
      <c r="I78" s="25">
        <f>IF(AND('Part VII-Pro Forma'!$G$8="Yes",'Part VII-Pro Forma'!$G$9="Yes"),"Choose One!",IF('Part VII-Pro Forma'!$G$8="Yes",ROUND((-$K$8*(1+'Part VII-Pro Forma'!$B$6)^('Part VII-Pro Forma'!I71-1)),),IF('Part VII-Pro Forma'!$G$9="Yes",ROUND((-(SUM(I72:I75)*'Part VII-Pro Forma'!$K$9)),),"Choose mgt fee")))</f>
        <v>-102639</v>
      </c>
      <c r="J78" s="25">
        <f>IF(AND('Part VII-Pro Forma'!$G$8="Yes",'Part VII-Pro Forma'!$G$9="Yes"),"Choose One!",IF('Part VII-Pro Forma'!$G$8="Yes",ROUND((-$K$8*(1+'Part VII-Pro Forma'!$B$6)^('Part VII-Pro Forma'!J71-1)),),IF('Part VII-Pro Forma'!$G$9="Yes",ROUND((-(SUM(J72:J75)*'Part VII-Pro Forma'!$K$9)),),"Choose mgt fee")))</f>
        <v>-105718</v>
      </c>
      <c r="K78" s="25">
        <f>IF(AND('Part VII-Pro Forma'!$G$8="Yes",'Part VII-Pro Forma'!$G$9="Yes"),"Choose One!",IF('Part VII-Pro Forma'!$G$8="Yes",ROUND((-$K$8*(1+'Part VII-Pro Forma'!$B$6)^('Part VII-Pro Forma'!K71-1)),),IF('Part VII-Pro Forma'!$G$9="Yes",ROUND((-(SUM(K72:K75)*'Part VII-Pro Forma'!$K$9)),),"Choose mgt fee")))</f>
        <v>-108890</v>
      </c>
      <c r="M78" s="1756"/>
      <c r="N78" s="1757"/>
    </row>
    <row r="79" spans="1:14" ht="13.15" customHeight="1">
      <c r="A79" s="24" t="s">
        <v>1279</v>
      </c>
      <c r="B79" s="25">
        <f t="shared" ref="B79:K79" si="33">$B$21*(1+$B$7)^(B71-1)</f>
        <v>-83442.339041726897</v>
      </c>
      <c r="C79" s="25">
        <f t="shared" si="33"/>
        <v>-85945.609212978685</v>
      </c>
      <c r="D79" s="25">
        <f t="shared" si="33"/>
        <v>-88523.977489368059</v>
      </c>
      <c r="E79" s="25">
        <f t="shared" si="33"/>
        <v>-91179.696814049108</v>
      </c>
      <c r="F79" s="25">
        <f t="shared" si="33"/>
        <v>-93915.087718470561</v>
      </c>
      <c r="G79" s="25">
        <f t="shared" si="33"/>
        <v>-96732.540350024676</v>
      </c>
      <c r="H79" s="25">
        <f t="shared" si="33"/>
        <v>-99634.51656052543</v>
      </c>
      <c r="I79" s="25">
        <f t="shared" si="33"/>
        <v>-102623.55205734118</v>
      </c>
      <c r="J79" s="25">
        <f t="shared" si="33"/>
        <v>-105702.25861906142</v>
      </c>
      <c r="K79" s="26">
        <f t="shared" si="33"/>
        <v>-108873.32637763325</v>
      </c>
      <c r="M79" s="1756"/>
      <c r="N79" s="1757"/>
    </row>
    <row r="80" spans="1:14" ht="13.15" customHeight="1">
      <c r="A80" s="24" t="s">
        <v>1280</v>
      </c>
      <c r="B80" s="25">
        <f t="shared" ref="B80:K80" si="34">SUM(B72:B79)</f>
        <v>274401.30674702988</v>
      </c>
      <c r="C80" s="25">
        <f t="shared" si="34"/>
        <v>271189.43253280519</v>
      </c>
      <c r="D80" s="25">
        <f t="shared" si="34"/>
        <v>267653.45082382078</v>
      </c>
      <c r="E80" s="25">
        <f t="shared" si="34"/>
        <v>263776.28096986742</v>
      </c>
      <c r="F80" s="25">
        <f t="shared" si="34"/>
        <v>259546.3883527221</v>
      </c>
      <c r="G80" s="25">
        <f t="shared" si="34"/>
        <v>254945.76893613781</v>
      </c>
      <c r="H80" s="25">
        <f t="shared" si="34"/>
        <v>249958.9333157127</v>
      </c>
      <c r="I80" s="25">
        <f t="shared" si="34"/>
        <v>244570.8902529043</v>
      </c>
      <c r="J80" s="25">
        <f t="shared" si="34"/>
        <v>238763.12967696658</v>
      </c>
      <c r="K80" s="26">
        <f t="shared" si="34"/>
        <v>232517.60513807973</v>
      </c>
      <c r="M80" s="1756"/>
      <c r="N80" s="1757"/>
    </row>
    <row r="81" spans="1:14" ht="13.15" customHeight="1">
      <c r="A81" s="24" t="str">
        <f>$A52</f>
        <v>Mortgage A</v>
      </c>
      <c r="B81" s="2197">
        <f>K52</f>
        <v>-228501</v>
      </c>
      <c r="C81" s="2197">
        <f>B81</f>
        <v>-228501</v>
      </c>
      <c r="D81" s="2197">
        <f>C81</f>
        <v>-228501</v>
      </c>
      <c r="E81" s="2197">
        <f t="shared" ref="E81:K81" si="35">D81</f>
        <v>-228501</v>
      </c>
      <c r="F81" s="2197">
        <f t="shared" si="35"/>
        <v>-228501</v>
      </c>
      <c r="G81" s="2197">
        <f t="shared" si="35"/>
        <v>-228501</v>
      </c>
      <c r="H81" s="2197">
        <f t="shared" si="35"/>
        <v>-228501</v>
      </c>
      <c r="I81" s="2197">
        <f t="shared" si="35"/>
        <v>-228501</v>
      </c>
      <c r="J81" s="2197">
        <f t="shared" si="35"/>
        <v>-228501</v>
      </c>
      <c r="K81" s="2197">
        <f t="shared" si="35"/>
        <v>-228501</v>
      </c>
      <c r="M81" s="1756"/>
      <c r="N81" s="1757"/>
    </row>
    <row r="82" spans="1:14" ht="13.15" customHeight="1">
      <c r="A82" s="24" t="str">
        <f>$A53</f>
        <v>Mortgage B</v>
      </c>
      <c r="B82" s="2198">
        <v>-2500</v>
      </c>
      <c r="C82" s="2198">
        <v>-2500</v>
      </c>
      <c r="D82" s="2198">
        <v>-2500</v>
      </c>
      <c r="E82" s="2198">
        <v>-2500</v>
      </c>
      <c r="F82" s="2198">
        <v>-2500</v>
      </c>
      <c r="G82" s="2198">
        <v>-2500</v>
      </c>
      <c r="H82" s="2198">
        <v>-2500</v>
      </c>
      <c r="I82" s="2198">
        <v>-2500</v>
      </c>
      <c r="J82" s="2198">
        <v>-2500</v>
      </c>
      <c r="K82" s="2198">
        <v>-2500</v>
      </c>
      <c r="M82" s="1756"/>
      <c r="N82" s="1757"/>
    </row>
    <row r="83" spans="1:14" ht="13.15" customHeight="1">
      <c r="A83" s="24" t="str">
        <f>$A54</f>
        <v>Mortgage C</v>
      </c>
      <c r="B83" s="2198">
        <f>IF('Part III-Sources of Funds'!$M$34="", 0,-'Part III-Sources of Funds'!$M$34)</f>
        <v>0</v>
      </c>
      <c r="C83" s="2198">
        <f>IF('Part III-Sources of Funds'!$M$34="", 0,-'Part III-Sources of Funds'!$M$34)</f>
        <v>0</v>
      </c>
      <c r="D83" s="2198">
        <f>IF('Part III-Sources of Funds'!$M$34="", 0,-'Part III-Sources of Funds'!$M$34)</f>
        <v>0</v>
      </c>
      <c r="E83" s="2198">
        <f>IF('Part III-Sources of Funds'!$M$34="", 0,-'Part III-Sources of Funds'!$M$34)</f>
        <v>0</v>
      </c>
      <c r="F83" s="2198">
        <f>IF('Part III-Sources of Funds'!$M$34="", 0,-'Part III-Sources of Funds'!$M$34)</f>
        <v>0</v>
      </c>
      <c r="G83" s="2198">
        <f>IF('Part III-Sources of Funds'!$M$34="", 0,-'Part III-Sources of Funds'!$M$34)</f>
        <v>0</v>
      </c>
      <c r="H83" s="2198">
        <f>IF('Part III-Sources of Funds'!$M$34="", 0,-'Part III-Sources of Funds'!$M$34)</f>
        <v>0</v>
      </c>
      <c r="I83" s="2198">
        <f>IF('Part III-Sources of Funds'!$M$34="", 0,-'Part III-Sources of Funds'!$M$34)</f>
        <v>0</v>
      </c>
      <c r="J83" s="2198">
        <f>IF('Part III-Sources of Funds'!$M$34="", 0,-'Part III-Sources of Funds'!$M$34)</f>
        <v>0</v>
      </c>
      <c r="K83" s="2198">
        <f>IF('Part III-Sources of Funds'!$M$34="", 0,-'Part III-Sources of Funds'!$M$34)</f>
        <v>0</v>
      </c>
      <c r="M83" s="1756"/>
      <c r="N83" s="1757"/>
    </row>
    <row r="84" spans="1:14" ht="13.15" customHeight="1">
      <c r="A84" s="24" t="str">
        <f>$A55</f>
        <v>D/S Other Source</v>
      </c>
      <c r="B84" s="2198">
        <f>IF('Part III-Sources of Funds'!$M$35="", 0,-'Part III-Sources of Funds'!$M$35)</f>
        <v>-9649.1856133941019</v>
      </c>
      <c r="C84" s="2198">
        <f>IF('Part III-Sources of Funds'!$M$35="", 0,-'Part III-Sources of Funds'!$M$35)</f>
        <v>-9649.1856133941019</v>
      </c>
      <c r="D84" s="2198">
        <f>IF('Part III-Sources of Funds'!$M$35="", 0,-'Part III-Sources of Funds'!$M$35)</f>
        <v>-9649.1856133941019</v>
      </c>
      <c r="E84" s="2198">
        <f>IF('Part III-Sources of Funds'!$M$35="", 0,-'Part III-Sources of Funds'!$M$35)</f>
        <v>-9649.1856133941019</v>
      </c>
      <c r="F84" s="2198">
        <f>IF('Part III-Sources of Funds'!$M$35="", 0,-'Part III-Sources of Funds'!$M$35)</f>
        <v>-9649.1856133941019</v>
      </c>
      <c r="G84" s="2198">
        <f>IF('Part III-Sources of Funds'!$M$35="", 0,-'Part III-Sources of Funds'!$M$35)</f>
        <v>-9649.1856133941019</v>
      </c>
      <c r="H84" s="2198">
        <f>IF('Part III-Sources of Funds'!$M$35="", 0,-'Part III-Sources of Funds'!$M$35)</f>
        <v>-9649.1856133941019</v>
      </c>
      <c r="I84" s="2198">
        <f>IF('Part III-Sources of Funds'!$M$35="", 0,-'Part III-Sources of Funds'!$M$35)</f>
        <v>-9649.1856133941019</v>
      </c>
      <c r="J84" s="2198">
        <f>IF('Part III-Sources of Funds'!$M$35="", 0,-'Part III-Sources of Funds'!$M$35)</f>
        <v>-9649.1856133941019</v>
      </c>
      <c r="K84" s="2198">
        <f>IF('Part III-Sources of Funds'!$M$35="", 0,-'Part III-Sources of Funds'!$M$35)</f>
        <v>-9649.1856133941019</v>
      </c>
      <c r="M84" s="1756"/>
      <c r="N84" s="1757"/>
    </row>
    <row r="85" spans="1:14" ht="13.15" customHeight="1">
      <c r="A85" s="24" t="s">
        <v>815</v>
      </c>
      <c r="B85" s="2199"/>
      <c r="C85" s="2199"/>
      <c r="D85" s="2199"/>
      <c r="E85" s="2199"/>
      <c r="F85" s="2199"/>
      <c r="G85" s="2199"/>
      <c r="H85" s="2199"/>
      <c r="I85" s="2199"/>
      <c r="J85" s="2199"/>
      <c r="K85" s="2199"/>
      <c r="M85" s="1756"/>
      <c r="N85" s="1757"/>
    </row>
    <row r="86" spans="1:14" ht="13.15" customHeight="1">
      <c r="A86" s="24" t="s">
        <v>1235</v>
      </c>
      <c r="B86" s="2198">
        <v>0</v>
      </c>
      <c r="C86" s="2198">
        <v>0</v>
      </c>
      <c r="D86" s="2198">
        <v>0</v>
      </c>
      <c r="E86" s="2198">
        <v>0</v>
      </c>
      <c r="F86" s="2198">
        <v>0</v>
      </c>
      <c r="G86" s="2198">
        <v>0</v>
      </c>
      <c r="H86" s="2198">
        <v>0</v>
      </c>
      <c r="I86" s="2198">
        <v>0</v>
      </c>
      <c r="J86" s="2198">
        <v>0</v>
      </c>
      <c r="K86" s="2198">
        <v>0</v>
      </c>
      <c r="M86" s="1756"/>
      <c r="N86" s="1757"/>
    </row>
    <row r="87" spans="1:14" ht="13.15" customHeight="1">
      <c r="A87" s="24" t="s">
        <v>1281</v>
      </c>
      <c r="B87" s="2200">
        <f>IF('Part III-Sources of Funds'!$M$37="", 0,-'Part III-Sources of Funds'!$M$37)</f>
        <v>0</v>
      </c>
      <c r="C87" s="2200">
        <f>IF('Part III-Sources of Funds'!$M$37="", 0,-'Part III-Sources of Funds'!$M$37)</f>
        <v>0</v>
      </c>
      <c r="D87" s="2200">
        <f>IF('Part III-Sources of Funds'!$M$37="", 0,-'Part III-Sources of Funds'!$M$37)</f>
        <v>0</v>
      </c>
      <c r="E87" s="2200">
        <f>IF('Part III-Sources of Funds'!$M$37="", 0,-'Part III-Sources of Funds'!$M$37)</f>
        <v>0</v>
      </c>
      <c r="F87" s="2200">
        <f>IF('Part III-Sources of Funds'!$M$37="", 0,-'Part III-Sources of Funds'!$M$37)</f>
        <v>0</v>
      </c>
      <c r="G87" s="2200">
        <f>IF('Part III-Sources of Funds'!$M$37="", 0,-'Part III-Sources of Funds'!$M$37)</f>
        <v>0</v>
      </c>
      <c r="H87" s="2200">
        <f>IF('Part III-Sources of Funds'!$M$37="", 0,-'Part III-Sources of Funds'!$M$37)</f>
        <v>0</v>
      </c>
      <c r="I87" s="2200">
        <f>IF('Part III-Sources of Funds'!$M$37="", 0,-'Part III-Sources of Funds'!$M$37)</f>
        <v>0</v>
      </c>
      <c r="J87" s="2200">
        <f>IF('Part III-Sources of Funds'!$M$37="", 0,-'Part III-Sources of Funds'!$M$37)</f>
        <v>0</v>
      </c>
      <c r="K87" s="2198">
        <f>IF('Part III-Sources of Funds'!$M$37="", 0,-'Part III-Sources of Funds'!$M$37)</f>
        <v>0</v>
      </c>
      <c r="M87" s="1756"/>
      <c r="N87" s="1757"/>
    </row>
    <row r="88" spans="1:14" ht="13.15" customHeight="1">
      <c r="A88" s="24" t="s">
        <v>1236</v>
      </c>
      <c r="B88" s="25">
        <f t="shared" ref="B88:K88" si="36">SUM(B80:B87)</f>
        <v>33751.121133635781</v>
      </c>
      <c r="C88" s="25">
        <f t="shared" si="36"/>
        <v>30539.246919411089</v>
      </c>
      <c r="D88" s="25">
        <f t="shared" si="36"/>
        <v>27003.265210426674</v>
      </c>
      <c r="E88" s="25">
        <f t="shared" si="36"/>
        <v>23126.095356473321</v>
      </c>
      <c r="F88" s="25">
        <f t="shared" si="36"/>
        <v>18896.202739328</v>
      </c>
      <c r="G88" s="25">
        <f t="shared" si="36"/>
        <v>14295.583322743712</v>
      </c>
      <c r="H88" s="25">
        <f t="shared" si="36"/>
        <v>9308.7477023185947</v>
      </c>
      <c r="I88" s="25">
        <f t="shared" si="36"/>
        <v>3920.7046395101952</v>
      </c>
      <c r="J88" s="25">
        <f t="shared" si="36"/>
        <v>-1887.0559364275232</v>
      </c>
      <c r="K88" s="23">
        <f t="shared" si="36"/>
        <v>-8132.580475314373</v>
      </c>
      <c r="M88" s="1756"/>
      <c r="N88" s="1757"/>
    </row>
    <row r="89" spans="1:14" ht="13.15" customHeight="1">
      <c r="A89" s="24" t="str">
        <f>$A60</f>
        <v>DCR Mortgage A</v>
      </c>
      <c r="B89" s="27">
        <f>IF(B81=0,"",-B80/B81)</f>
        <v>1.2008757368546741</v>
      </c>
      <c r="C89" s="27">
        <f t="shared" ref="C89:K89" si="37">IF(C81=0,"",-C80/C81)</f>
        <v>1.1868194560759262</v>
      </c>
      <c r="D89" s="27">
        <f t="shared" si="37"/>
        <v>1.1713447679608437</v>
      </c>
      <c r="E89" s="27">
        <f t="shared" si="37"/>
        <v>1.1543769216321478</v>
      </c>
      <c r="F89" s="27">
        <f t="shared" si="37"/>
        <v>1.1358654375811139</v>
      </c>
      <c r="G89" s="27">
        <f t="shared" si="37"/>
        <v>1.1157315238713958</v>
      </c>
      <c r="H89" s="27">
        <f t="shared" si="37"/>
        <v>1.0939073934718566</v>
      </c>
      <c r="I89" s="27">
        <f t="shared" si="37"/>
        <v>1.0703274394987519</v>
      </c>
      <c r="J89" s="27">
        <f t="shared" si="37"/>
        <v>1.0449106554324339</v>
      </c>
      <c r="K89" s="28">
        <f t="shared" si="37"/>
        <v>1.0175780637199825</v>
      </c>
      <c r="M89" s="1756"/>
      <c r="N89" s="1757"/>
    </row>
    <row r="90" spans="1:14" ht="13.15" customHeight="1">
      <c r="A90" s="24" t="str">
        <f>$A61</f>
        <v>DCR Mortgage B</v>
      </c>
      <c r="B90" s="27">
        <f>IF(OR(B82=0,AND(B82=0,B81=0)),"",-B80/(B81+B82))</f>
        <v>1.1878793024576946</v>
      </c>
      <c r="C90" s="27">
        <f t="shared" ref="C90:K90" si="38">IF(OR(C82=0,AND(C82=0,C81=0)),"",-C80/(C81+C82))</f>
        <v>1.173975145271255</v>
      </c>
      <c r="D90" s="27">
        <f t="shared" si="38"/>
        <v>1.1586679314107764</v>
      </c>
      <c r="E90" s="27">
        <f t="shared" si="38"/>
        <v>1.1418837189876556</v>
      </c>
      <c r="F90" s="27">
        <f t="shared" si="38"/>
        <v>1.1235725748058325</v>
      </c>
      <c r="G90" s="27">
        <f t="shared" si="38"/>
        <v>1.1036565596518535</v>
      </c>
      <c r="H90" s="27">
        <f t="shared" si="38"/>
        <v>1.082068620117284</v>
      </c>
      <c r="I90" s="27">
        <f t="shared" si="38"/>
        <v>1.058743859346515</v>
      </c>
      <c r="J90" s="27">
        <f t="shared" si="38"/>
        <v>1.0336021475100392</v>
      </c>
      <c r="K90" s="28">
        <f t="shared" si="38"/>
        <v>1.0065653617866577</v>
      </c>
      <c r="M90" s="1756"/>
      <c r="N90" s="175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6"/>
      <c r="N91" s="1757"/>
    </row>
    <row r="92" spans="1:14" ht="13.15" customHeight="1">
      <c r="A92" s="24" t="str">
        <f>$A63</f>
        <v>DCR Other Source</v>
      </c>
      <c r="B92" s="27">
        <f>IF(OR(B84=0,AND(B81=0,B82=0,B83=0,B84=0)),"",-B80/(B81+B82+B83+B84))</f>
        <v>1.1402497199310586</v>
      </c>
      <c r="C92" s="27">
        <f t="shared" ref="C92:K92" si="40">IF(OR(C84=0,AND(C81=0,C82=0,C83=0,C84=0)),"",-C80/(C81+C82+C83+C84))</f>
        <v>1.1269030682090251</v>
      </c>
      <c r="D92" s="27">
        <f t="shared" si="40"/>
        <v>1.1122096172151206</v>
      </c>
      <c r="E92" s="27">
        <f t="shared" si="40"/>
        <v>1.0960983898579888</v>
      </c>
      <c r="F92" s="27">
        <f t="shared" si="40"/>
        <v>1.078521455078721</v>
      </c>
      <c r="G92" s="27">
        <f t="shared" si="40"/>
        <v>1.0594039987391062</v>
      </c>
      <c r="H92" s="27">
        <f t="shared" si="40"/>
        <v>1.0386816560252863</v>
      </c>
      <c r="I92" s="27">
        <f t="shared" si="40"/>
        <v>1.0162921322064087</v>
      </c>
      <c r="J92" s="27">
        <f t="shared" si="40"/>
        <v>0.99215851036383951</v>
      </c>
      <c r="K92" s="28">
        <f t="shared" si="40"/>
        <v>0.96620580011361634</v>
      </c>
      <c r="M92" s="1756"/>
      <c r="N92" s="1757"/>
    </row>
    <row r="93" spans="1:14" ht="13.15" customHeight="1">
      <c r="A93" s="24" t="s">
        <v>822</v>
      </c>
      <c r="B93" s="320">
        <f>IF(OR(B78="Choose mgt fee",B78="Choose One!"),"",(B72+B73+B74+B75+B76) / -(B77+B78+B79))</f>
        <v>1.3154201030325108</v>
      </c>
      <c r="C93" s="320">
        <f t="shared" ref="C93:K93" si="41">IF(OR(C78="Choose mgt fee",C78="Choose One!"),"",(C72+C73+C74+C75+C76) / -(C77+C78+C79))</f>
        <v>1.3026485252544371</v>
      </c>
      <c r="D93" s="320">
        <f t="shared" si="41"/>
        <v>1.2900025284355296</v>
      </c>
      <c r="E93" s="320">
        <f t="shared" si="41"/>
        <v>1.2774770360329228</v>
      </c>
      <c r="F93" s="320">
        <f t="shared" si="41"/>
        <v>1.2650754058221683</v>
      </c>
      <c r="G93" s="320">
        <f t="shared" si="41"/>
        <v>1.2527929588408904</v>
      </c>
      <c r="H93" s="320">
        <f t="shared" si="41"/>
        <v>1.2406292157547321</v>
      </c>
      <c r="I93" s="320">
        <f t="shared" si="41"/>
        <v>1.2285848460522175</v>
      </c>
      <c r="J93" s="320">
        <f t="shared" si="41"/>
        <v>1.2166570255200813</v>
      </c>
      <c r="K93" s="321">
        <f t="shared" si="41"/>
        <v>1.2048443331221703</v>
      </c>
      <c r="M93" s="1756"/>
      <c r="N93" s="1757"/>
    </row>
    <row r="94" spans="1:14" ht="13.15" customHeight="1">
      <c r="A94" s="522" t="s">
        <v>2802</v>
      </c>
      <c r="B94" s="2201">
        <f>IF('Part III-Sources of Funds'!$H$32="","",-FV('Part III-Sources of Funds'!$J$32/12,12,B81/12,K65))</f>
        <v>1586037.7228244655</v>
      </c>
      <c r="C94" s="2201">
        <f>IF('Part III-Sources of Funds'!$H$32="","",-FV('Part III-Sources of Funds'!$J$32/12,12,C81/12,B94))</f>
        <v>1448970.3642886695</v>
      </c>
      <c r="D94" s="2201">
        <f>IF('Part III-Sources of Funds'!$H$32="","",-FV('Part III-Sources of Funds'!$J$32/12,12,D81/12,C94))</f>
        <v>1303448.9910003392</v>
      </c>
      <c r="E94" s="2201">
        <f>IF('Part III-Sources of Funds'!$H$32="","",-FV('Part III-Sources of Funds'!$J$32/12,12,E81/12,D94))</f>
        <v>1148952.1778280677</v>
      </c>
      <c r="F94" s="2201">
        <f>IF('Part III-Sources of Funds'!$H$32="","",-FV('Part III-Sources of Funds'!$J$32/12,12,F81/12,E94))</f>
        <v>984926.33927929262</v>
      </c>
      <c r="G94" s="2201">
        <f>IF('Part III-Sources of Funds'!$H$32="","",-FV('Part III-Sources of Funds'!$J$32/12,12,G81/12,F94))</f>
        <v>810783.74591958965</v>
      </c>
      <c r="H94" s="2201">
        <f>IF('Part III-Sources of Funds'!$H$32="","",-FV('Part III-Sources of Funds'!$J$32/12,12,H81/12,G94))</f>
        <v>625900.41844905121</v>
      </c>
      <c r="I94" s="2201">
        <f>IF('Part III-Sources of Funds'!$H$32="","",-FV('Part III-Sources of Funds'!$J$32/12,12,I81/12,H94))</f>
        <v>429613.89188990259</v>
      </c>
      <c r="J94" s="2201">
        <f>IF('Part III-Sources of Funds'!$H$32="","",-FV('Part III-Sources of Funds'!$J$32/12,12,J81/12,I94))</f>
        <v>221220.84187410312</v>
      </c>
      <c r="K94" s="2201">
        <f>IF('Part III-Sources of Funds'!$H$32="","",-FV('Part III-Sources of Funds'!$J$32/12,12,K81/12,J94))</f>
        <v>-25.435474439640529</v>
      </c>
      <c r="M94" s="1756"/>
      <c r="N94" s="1757"/>
    </row>
    <row r="95" spans="1:14" ht="13.15" customHeight="1">
      <c r="A95" s="522" t="s">
        <v>2803</v>
      </c>
      <c r="B95" s="2198" t="str">
        <f>IF('Part III-Sources of Funds'!$H$33="","",-FV('Part III-Sources of Funds'!$J$33/12,12,B82/12,K66))</f>
        <v/>
      </c>
      <c r="C95" s="2198" t="str">
        <f>IF('Part III-Sources of Funds'!$H$33="","",-FV('Part III-Sources of Funds'!$J$33/12,12,C82/12,B95))</f>
        <v/>
      </c>
      <c r="D95" s="2198" t="str">
        <f>IF('Part III-Sources of Funds'!$H$33="","",-FV('Part III-Sources of Funds'!$J$33/12,12,D82/12,C95))</f>
        <v/>
      </c>
      <c r="E95" s="2198" t="str">
        <f>IF('Part III-Sources of Funds'!$H$33="","",-FV('Part III-Sources of Funds'!$J$33/12,12,E82/12,D95))</f>
        <v/>
      </c>
      <c r="F95" s="2198" t="str">
        <f>IF('Part III-Sources of Funds'!$H$33="","",-FV('Part III-Sources of Funds'!$J$33/12,12,F82/12,E95))</f>
        <v/>
      </c>
      <c r="G95" s="2198" t="str">
        <f>IF('Part III-Sources of Funds'!$H$33="","",-FV('Part III-Sources of Funds'!$J$33/12,12,G82/12,F95))</f>
        <v/>
      </c>
      <c r="H95" s="2198" t="str">
        <f>IF('Part III-Sources of Funds'!$H$33="","",-FV('Part III-Sources of Funds'!$J$33/12,12,H82/12,G95))</f>
        <v/>
      </c>
      <c r="I95" s="2198" t="str">
        <f>IF('Part III-Sources of Funds'!$H$33="","",-FV('Part III-Sources of Funds'!$J$33/12,12,I82/12,H95))</f>
        <v/>
      </c>
      <c r="J95" s="2198" t="str">
        <f>IF('Part III-Sources of Funds'!$H$33="","",-FV('Part III-Sources of Funds'!$J$33/12,12,J82/12,I95))</f>
        <v/>
      </c>
      <c r="K95" s="2198" t="str">
        <f>IF('Part III-Sources of Funds'!$H$33="","",-FV('Part III-Sources of Funds'!$J$33/12,12,K82/12,J95))</f>
        <v/>
      </c>
      <c r="M95" s="1756"/>
      <c r="N95" s="1757"/>
    </row>
    <row r="96" spans="1:14" ht="13.15" customHeight="1">
      <c r="A96" s="522" t="s">
        <v>2804</v>
      </c>
      <c r="B96" s="2198" t="str">
        <f>IF('Part III-Sources of Funds'!$H$34="","",-FV('Part III-Sources of Funds'!$J$34/12,12,B83/12,K67))</f>
        <v/>
      </c>
      <c r="C96" s="2198" t="str">
        <f>IF('Part III-Sources of Funds'!$H$34="","",-FV('Part III-Sources of Funds'!$J$34/12,12,C83/12,B96))</f>
        <v/>
      </c>
      <c r="D96" s="2198" t="str">
        <f>IF('Part III-Sources of Funds'!$H$34="","",-FV('Part III-Sources of Funds'!$J$34/12,12,D83/12,C96))</f>
        <v/>
      </c>
      <c r="E96" s="2198" t="str">
        <f>IF('Part III-Sources of Funds'!$H$34="","",-FV('Part III-Sources of Funds'!$J$34/12,12,E83/12,D96))</f>
        <v/>
      </c>
      <c r="F96" s="2198" t="str">
        <f>IF('Part III-Sources of Funds'!$H$34="","",-FV('Part III-Sources of Funds'!$J$34/12,12,F83/12,E96))</f>
        <v/>
      </c>
      <c r="G96" s="2198" t="str">
        <f>IF('Part III-Sources of Funds'!$H$34="","",-FV('Part III-Sources of Funds'!$J$34/12,12,G83/12,F96))</f>
        <v/>
      </c>
      <c r="H96" s="2198" t="str">
        <f>IF('Part III-Sources of Funds'!$H$34="","",-FV('Part III-Sources of Funds'!$J$34/12,12,H83/12,G96))</f>
        <v/>
      </c>
      <c r="I96" s="2198" t="str">
        <f>IF('Part III-Sources of Funds'!$H$34="","",-FV('Part III-Sources of Funds'!$J$34/12,12,I83/12,H96))</f>
        <v/>
      </c>
      <c r="J96" s="2198" t="str">
        <f>IF('Part III-Sources of Funds'!$H$34="","",-FV('Part III-Sources of Funds'!$J$34/12,12,J83/12,I96))</f>
        <v/>
      </c>
      <c r="K96" s="2198" t="str">
        <f>IF('Part III-Sources of Funds'!$H$34="","",-FV('Part III-Sources of Funds'!$J$34/12,12,K83/12,J96))</f>
        <v/>
      </c>
      <c r="M96" s="1756"/>
      <c r="N96" s="1757"/>
    </row>
    <row r="97" spans="1:14" ht="13.15" customHeight="1">
      <c r="A97" s="24" t="s">
        <v>838</v>
      </c>
      <c r="B97" s="2198">
        <f>IF('Part III-Sources of Funds'!$H$35="","",-FV('Part III-Sources of Funds'!$J$35/12,12,B84/12,K68))</f>
        <v>94855.06779692581</v>
      </c>
      <c r="C97" s="2198">
        <f>IF('Part III-Sources of Funds'!$H$35="","",-FV('Part III-Sources of Funds'!$J$35/12,12,C84/12,B97))</f>
        <v>86114.443971434317</v>
      </c>
      <c r="D97" s="2198">
        <f>IF('Part III-Sources of Funds'!$H$35="","",-FV('Part III-Sources of Funds'!$J$35/12,12,D84/12,C97))</f>
        <v>77286.012180862395</v>
      </c>
      <c r="E97" s="2198">
        <f>IF('Part III-Sources of Funds'!$H$35="","",-FV('Part III-Sources of Funds'!$J$35/12,12,E84/12,D97))</f>
        <v>68368.890309827228</v>
      </c>
      <c r="F97" s="2198">
        <f>IF('Part III-Sources of Funds'!$H$35="","",-FV('Part III-Sources of Funds'!$J$35/12,12,F84/12,E97))</f>
        <v>59362.187381249423</v>
      </c>
      <c r="G97" s="2198">
        <f>IF('Part III-Sources of Funds'!$H$35="","",-FV('Part III-Sources of Funds'!$J$35/12,12,G84/12,F97))</f>
        <v>50265.003467328679</v>
      </c>
      <c r="H97" s="2198">
        <f>IF('Part III-Sources of Funds'!$H$35="","",-FV('Part III-Sources of Funds'!$J$35/12,12,H84/12,G97))</f>
        <v>41076.429599625197</v>
      </c>
      <c r="I97" s="2198">
        <f>IF('Part III-Sources of Funds'!$H$35="","",-FV('Part III-Sources of Funds'!$J$35/12,12,I84/12,H97))</f>
        <v>31795.547678237795</v>
      </c>
      <c r="J97" s="2198">
        <f>IF('Part III-Sources of Funds'!$H$35="","",-FV('Part III-Sources of Funds'!$J$35/12,12,J84/12,I97))</f>
        <v>22421.430380069593</v>
      </c>
      <c r="K97" s="2198">
        <f>IF('Part III-Sources of Funds'!$H$35="","",-FV('Part III-Sources of Funds'!$J$35/12,12,K84/12,J97))</f>
        <v>12953.141066172149</v>
      </c>
      <c r="M97" s="1756"/>
      <c r="N97" s="1757"/>
    </row>
    <row r="98" spans="1:14" ht="13.15" customHeight="1">
      <c r="A98" s="29" t="s">
        <v>1316</v>
      </c>
      <c r="B98" s="2200">
        <f>IF('Part III-Sources of Funds'!$H$37="","",-FV('Part III-Sources of Funds'!$J$37/12,12,B87/12,K69))</f>
        <v>0</v>
      </c>
      <c r="C98" s="2200">
        <f>IF('Part III-Sources of Funds'!$H$37="","",-FV('Part III-Sources of Funds'!$J$37/12,12,C87/12,B98))</f>
        <v>0</v>
      </c>
      <c r="D98" s="2200">
        <f>IF('Part III-Sources of Funds'!$H$37="","",-FV('Part III-Sources of Funds'!$J$37/12,12,D87/12,C98))</f>
        <v>0</v>
      </c>
      <c r="E98" s="2200">
        <f>IF('Part III-Sources of Funds'!$H$37="","",-FV('Part III-Sources of Funds'!$J$37/12,12,E87/12,D98))</f>
        <v>0</v>
      </c>
      <c r="F98" s="2200">
        <f>IF('Part III-Sources of Funds'!$H$37="","",-FV('Part III-Sources of Funds'!$J$37/12,12,F87/12,E98))</f>
        <v>0</v>
      </c>
      <c r="G98" s="2200">
        <f>IF('Part III-Sources of Funds'!$H$37="","",-FV('Part III-Sources of Funds'!$J$37/12,12,G87/12,F98))</f>
        <v>0</v>
      </c>
      <c r="H98" s="2200">
        <f>IF('Part III-Sources of Funds'!$H$37="","",-FV('Part III-Sources of Funds'!$J$37/12,12,H87/12,G98))</f>
        <v>0</v>
      </c>
      <c r="I98" s="2200">
        <f>IF('Part III-Sources of Funds'!$H$37="","",-FV('Part III-Sources of Funds'!$J$37/12,12,I87/12,H98))</f>
        <v>0</v>
      </c>
      <c r="J98" s="2200">
        <f>IF('Part III-Sources of Funds'!$H$37="","",-FV('Part III-Sources of Funds'!$J$37/12,12,J87/12,I98))</f>
        <v>0</v>
      </c>
      <c r="K98" s="2200">
        <f>IF('Part III-Sources of Funds'!$H$37="","",-FV('Part III-Sources of Funds'!$J$37/12,12,K87/12,J98))</f>
        <v>0</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6"/>
      <c r="B103" s="2203"/>
      <c r="C103" s="2203"/>
      <c r="D103" s="2203"/>
      <c r="E103" s="2203"/>
      <c r="F103" s="2204"/>
      <c r="G103" s="2205"/>
      <c r="H103" s="2206"/>
      <c r="I103" s="2206"/>
      <c r="J103" s="2206"/>
      <c r="K103" s="2207"/>
      <c r="M103" s="1286" t="s">
        <v>2925</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133"/>
      <selection sqref="A1:XFD1048576"/>
      <selection pane="bottomLeft" activeCell="AD140" sqref="AD140"/>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8" t="str">
        <f>CONCATENATE("PART EIGHT - THRESHOLD CRITERIA","  -  ",'Part I-Project Information'!$O$4," ",'Part I-Project Information'!$F$23,", ",'Part I-Project Information'!F27,", ",'Part I-Project Information'!J28," County")</f>
        <v>PART EIGHT - THRESHOLD CRITERIA  -  2014-051 Macon Gardens, Macon, Bibb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992</v>
      </c>
      <c r="P3" s="1485"/>
      <c r="Q3" s="814" t="s">
        <v>1972</v>
      </c>
    </row>
    <row r="4" spans="1:32" ht="3" customHeight="1">
      <c r="A4" s="1155"/>
      <c r="B4" s="1476"/>
      <c r="C4" s="1476"/>
      <c r="D4" s="1476"/>
      <c r="E4" s="1155"/>
      <c r="F4" s="1155"/>
      <c r="G4" s="1155"/>
      <c r="H4" s="1155"/>
      <c r="I4" s="1155"/>
      <c r="J4" s="1155"/>
      <c r="K4" s="1155"/>
      <c r="L4" s="1155"/>
      <c r="M4" s="1155"/>
      <c r="N4" s="1155"/>
      <c r="P4" s="1155"/>
      <c r="Q4" s="1155"/>
    </row>
    <row r="5" spans="1:32" ht="10.9" hidden="1" customHeight="1">
      <c r="A5" s="1155"/>
      <c r="B5" s="1155"/>
      <c r="C5" s="1155"/>
      <c r="D5" s="1155"/>
      <c r="E5" s="1155"/>
      <c r="F5" s="1155"/>
      <c r="G5" s="1155"/>
      <c r="H5" s="1155"/>
      <c r="I5" s="1155"/>
      <c r="J5" s="1155"/>
      <c r="K5" s="1155"/>
      <c r="L5" s="1155"/>
      <c r="M5" s="1155"/>
      <c r="N5" s="1155"/>
      <c r="P5" s="1155"/>
      <c r="Q5" s="1155"/>
    </row>
    <row r="6" spans="1:32" ht="15" customHeight="1">
      <c r="A6" s="151" t="s">
        <v>601</v>
      </c>
      <c r="J6" s="1155"/>
      <c r="K6" s="1155"/>
      <c r="L6" s="1155"/>
      <c r="M6" s="1155"/>
      <c r="N6" s="1155"/>
      <c r="P6" s="1477"/>
      <c r="Q6" s="1478"/>
    </row>
    <row r="7" spans="1:32" ht="12.6" customHeight="1">
      <c r="A7" s="152" t="s">
        <v>291</v>
      </c>
      <c r="C7" s="153"/>
      <c r="D7" s="153"/>
      <c r="J7" s="1155"/>
      <c r="K7" s="1155"/>
      <c r="L7" s="1155"/>
      <c r="M7" s="1155"/>
      <c r="N7" s="1155"/>
    </row>
    <row r="8" spans="1:32" ht="24.6" customHeight="1">
      <c r="A8" s="1479" t="s">
        <v>1501</v>
      </c>
      <c r="B8" s="1480"/>
      <c r="C8" s="1480"/>
      <c r="D8" s="1480"/>
      <c r="E8" s="1480"/>
      <c r="F8" s="1480"/>
      <c r="G8" s="1480"/>
      <c r="H8" s="1480"/>
      <c r="I8" s="1480"/>
      <c r="J8" s="1480"/>
      <c r="K8" s="1480"/>
      <c r="L8" s="1480"/>
      <c r="M8" s="1480"/>
      <c r="N8" s="1480"/>
      <c r="O8" s="1480"/>
      <c r="P8" s="1480"/>
      <c r="Q8" s="1481"/>
      <c r="R8" s="1445" t="s">
        <v>2168</v>
      </c>
      <c r="S8" s="1181"/>
    </row>
    <row r="9" spans="1:32" ht="24.6" customHeight="1">
      <c r="A9" s="1456" t="s">
        <v>238</v>
      </c>
      <c r="B9" s="1457"/>
      <c r="C9" s="1457"/>
      <c r="D9" s="1457"/>
      <c r="E9" s="1457"/>
      <c r="F9" s="1457"/>
      <c r="G9" s="1457"/>
      <c r="H9" s="1457"/>
      <c r="I9" s="1457"/>
      <c r="J9" s="1457"/>
      <c r="K9" s="1457"/>
      <c r="L9" s="1457"/>
      <c r="M9" s="1457"/>
      <c r="N9" s="1457"/>
      <c r="O9" s="1457"/>
      <c r="P9" s="1457"/>
      <c r="Q9" s="1458"/>
      <c r="R9" s="1445"/>
      <c r="S9" s="1181"/>
    </row>
    <row r="10" spans="1:32" ht="24.6" customHeight="1">
      <c r="A10" s="1456" t="s">
        <v>1497</v>
      </c>
      <c r="B10" s="1457"/>
      <c r="C10" s="1457"/>
      <c r="D10" s="1457"/>
      <c r="E10" s="1457"/>
      <c r="F10" s="1457"/>
      <c r="G10" s="1457"/>
      <c r="H10" s="1457"/>
      <c r="I10" s="1457"/>
      <c r="J10" s="1457"/>
      <c r="K10" s="1457"/>
      <c r="L10" s="1457"/>
      <c r="M10" s="1457"/>
      <c r="N10" s="1457"/>
      <c r="O10" s="1457"/>
      <c r="P10" s="1457"/>
      <c r="Q10" s="1458"/>
      <c r="R10" s="1445"/>
      <c r="S10" s="1181"/>
    </row>
    <row r="11" spans="1:32" ht="24.6" customHeight="1">
      <c r="A11" s="1456" t="s">
        <v>1498</v>
      </c>
      <c r="B11" s="1457"/>
      <c r="C11" s="1457"/>
      <c r="D11" s="1457"/>
      <c r="E11" s="1457"/>
      <c r="F11" s="1457"/>
      <c r="G11" s="1457"/>
      <c r="H11" s="1457"/>
      <c r="I11" s="1457"/>
      <c r="J11" s="1457"/>
      <c r="K11" s="1457"/>
      <c r="L11" s="1457"/>
      <c r="M11" s="1457"/>
      <c r="N11" s="1457"/>
      <c r="O11" s="1457"/>
      <c r="P11" s="1457"/>
      <c r="Q11" s="1458"/>
      <c r="R11" s="1445"/>
      <c r="S11" s="1181"/>
    </row>
    <row r="12" spans="1:32" ht="24.6" customHeight="1">
      <c r="A12" s="1456" t="s">
        <v>1499</v>
      </c>
      <c r="B12" s="1457"/>
      <c r="C12" s="1457"/>
      <c r="D12" s="1457"/>
      <c r="E12" s="1457"/>
      <c r="F12" s="1457"/>
      <c r="G12" s="1457"/>
      <c r="H12" s="1457"/>
      <c r="I12" s="1457"/>
      <c r="J12" s="1457"/>
      <c r="K12" s="1457"/>
      <c r="L12" s="1457"/>
      <c r="M12" s="1457"/>
      <c r="N12" s="1457"/>
      <c r="O12" s="1457"/>
      <c r="P12" s="1457"/>
      <c r="Q12" s="1458"/>
      <c r="R12" s="1130"/>
      <c r="S12" s="1130"/>
    </row>
    <row r="13" spans="1:32" ht="24.6" customHeight="1">
      <c r="A13" s="1456" t="s">
        <v>1500</v>
      </c>
      <c r="B13" s="1457"/>
      <c r="C13" s="1457"/>
      <c r="D13" s="1457"/>
      <c r="E13" s="1457"/>
      <c r="F13" s="1457"/>
      <c r="G13" s="1457"/>
      <c r="H13" s="1457"/>
      <c r="I13" s="1457"/>
      <c r="J13" s="1457"/>
      <c r="K13" s="1457"/>
      <c r="L13" s="1457"/>
      <c r="M13" s="1457"/>
      <c r="N13" s="1457"/>
      <c r="O13" s="1457"/>
      <c r="P13" s="1457"/>
      <c r="Q13" s="1458"/>
      <c r="R13" s="1130"/>
      <c r="S13" s="1130"/>
    </row>
    <row r="14" spans="1:32" ht="24.6" customHeight="1">
      <c r="A14" s="1456" t="s">
        <v>1502</v>
      </c>
      <c r="B14" s="1457"/>
      <c r="C14" s="1457"/>
      <c r="D14" s="1457"/>
      <c r="E14" s="1457"/>
      <c r="F14" s="1457"/>
      <c r="G14" s="1457"/>
      <c r="H14" s="1457"/>
      <c r="I14" s="1457"/>
      <c r="J14" s="1457"/>
      <c r="K14" s="1457"/>
      <c r="L14" s="1457"/>
      <c r="M14" s="1457"/>
      <c r="N14" s="1457"/>
      <c r="O14" s="1457"/>
      <c r="P14" s="1457"/>
      <c r="Q14" s="1458"/>
    </row>
    <row r="15" spans="1:32" ht="24.6" customHeight="1">
      <c r="A15" s="1456" t="s">
        <v>2155</v>
      </c>
      <c r="B15" s="1457"/>
      <c r="C15" s="1457"/>
      <c r="D15" s="1457"/>
      <c r="E15" s="1457"/>
      <c r="F15" s="1457"/>
      <c r="G15" s="1457"/>
      <c r="H15" s="1457"/>
      <c r="I15" s="1457"/>
      <c r="J15" s="1457"/>
      <c r="K15" s="1457"/>
      <c r="L15" s="1457"/>
      <c r="M15" s="1457"/>
      <c r="N15" s="1457"/>
      <c r="O15" s="1457"/>
      <c r="P15" s="1457"/>
      <c r="Q15" s="1458"/>
      <c r="R15" s="1181" t="s">
        <v>2168</v>
      </c>
      <c r="S15" s="1181"/>
    </row>
    <row r="16" spans="1:32" ht="24.6" customHeight="1">
      <c r="A16" s="1456" t="s">
        <v>2156</v>
      </c>
      <c r="B16" s="1457"/>
      <c r="C16" s="1457"/>
      <c r="D16" s="1457"/>
      <c r="E16" s="1457"/>
      <c r="F16" s="1457"/>
      <c r="G16" s="1457"/>
      <c r="H16" s="1457"/>
      <c r="I16" s="1457"/>
      <c r="J16" s="1457"/>
      <c r="K16" s="1457"/>
      <c r="L16" s="1457"/>
      <c r="M16" s="1457"/>
      <c r="N16" s="1457"/>
      <c r="O16" s="1457"/>
      <c r="P16" s="1457"/>
      <c r="Q16" s="1458"/>
      <c r="R16" s="1181"/>
      <c r="S16" s="1181"/>
    </row>
    <row r="17" spans="1:19" ht="24.6" customHeight="1">
      <c r="A17" s="1456" t="s">
        <v>2157</v>
      </c>
      <c r="B17" s="1457"/>
      <c r="C17" s="1457"/>
      <c r="D17" s="1457"/>
      <c r="E17" s="1457"/>
      <c r="F17" s="1457"/>
      <c r="G17" s="1457"/>
      <c r="H17" s="1457"/>
      <c r="I17" s="1457"/>
      <c r="J17" s="1457"/>
      <c r="K17" s="1457"/>
      <c r="L17" s="1457"/>
      <c r="M17" s="1457"/>
      <c r="N17" s="1457"/>
      <c r="O17" s="1457"/>
      <c r="P17" s="1457"/>
      <c r="Q17" s="1458"/>
      <c r="R17" s="1181"/>
      <c r="S17" s="1181"/>
    </row>
    <row r="18" spans="1:19" ht="24.6" customHeight="1">
      <c r="A18" s="1456" t="s">
        <v>2158</v>
      </c>
      <c r="B18" s="1457"/>
      <c r="C18" s="1457"/>
      <c r="D18" s="1457"/>
      <c r="E18" s="1457"/>
      <c r="F18" s="1457"/>
      <c r="G18" s="1457"/>
      <c r="H18" s="1457"/>
      <c r="I18" s="1457"/>
      <c r="J18" s="1457"/>
      <c r="K18" s="1457"/>
      <c r="L18" s="1457"/>
      <c r="M18" s="1457"/>
      <c r="N18" s="1457"/>
      <c r="O18" s="1457"/>
      <c r="P18" s="1457"/>
      <c r="Q18" s="1458"/>
      <c r="R18" s="1181"/>
      <c r="S18" s="1181"/>
    </row>
    <row r="19" spans="1:19" ht="24.6" customHeight="1">
      <c r="A19" s="1456" t="s">
        <v>2159</v>
      </c>
      <c r="B19" s="1457"/>
      <c r="C19" s="1457"/>
      <c r="D19" s="1457"/>
      <c r="E19" s="1457"/>
      <c r="F19" s="1457"/>
      <c r="G19" s="1457"/>
      <c r="H19" s="1457"/>
      <c r="I19" s="1457"/>
      <c r="J19" s="1457"/>
      <c r="K19" s="1457"/>
      <c r="L19" s="1457"/>
      <c r="M19" s="1457"/>
      <c r="N19" s="1457"/>
      <c r="O19" s="1457"/>
      <c r="P19" s="1457"/>
      <c r="Q19" s="1458"/>
      <c r="R19" s="1130"/>
      <c r="S19" s="1130"/>
    </row>
    <row r="20" spans="1:19" ht="24.6" customHeight="1">
      <c r="A20" s="1456" t="s">
        <v>2160</v>
      </c>
      <c r="B20" s="1457"/>
      <c r="C20" s="1457"/>
      <c r="D20" s="1457"/>
      <c r="E20" s="1457"/>
      <c r="F20" s="1457"/>
      <c r="G20" s="1457"/>
      <c r="H20" s="1457"/>
      <c r="I20" s="1457"/>
      <c r="J20" s="1457"/>
      <c r="K20" s="1457"/>
      <c r="L20" s="1457"/>
      <c r="M20" s="1457"/>
      <c r="N20" s="1457"/>
      <c r="O20" s="1457"/>
      <c r="P20" s="1457"/>
      <c r="Q20" s="1458"/>
      <c r="R20" s="1130"/>
      <c r="S20" s="1130"/>
    </row>
    <row r="21" spans="1:19" ht="24.6" customHeight="1">
      <c r="A21" s="1456" t="s">
        <v>2161</v>
      </c>
      <c r="B21" s="1457"/>
      <c r="C21" s="1457"/>
      <c r="D21" s="1457"/>
      <c r="E21" s="1457"/>
      <c r="F21" s="1457"/>
      <c r="G21" s="1457"/>
      <c r="H21" s="1457"/>
      <c r="I21" s="1457"/>
      <c r="J21" s="1457"/>
      <c r="K21" s="1457"/>
      <c r="L21" s="1457"/>
      <c r="M21" s="1457"/>
      <c r="N21" s="1457"/>
      <c r="O21" s="1457"/>
      <c r="P21" s="1457"/>
      <c r="Q21" s="1458"/>
    </row>
    <row r="22" spans="1:19" ht="24.6" customHeight="1">
      <c r="A22" s="1456" t="s">
        <v>2162</v>
      </c>
      <c r="B22" s="1457"/>
      <c r="C22" s="1457"/>
      <c r="D22" s="1457"/>
      <c r="E22" s="1457"/>
      <c r="F22" s="1457"/>
      <c r="G22" s="1457"/>
      <c r="H22" s="1457"/>
      <c r="I22" s="1457"/>
      <c r="J22" s="1457"/>
      <c r="K22" s="1457"/>
      <c r="L22" s="1457"/>
      <c r="M22" s="1457"/>
      <c r="N22" s="1457"/>
      <c r="O22" s="1457"/>
      <c r="P22" s="1457"/>
      <c r="Q22" s="1458"/>
      <c r="R22" s="1181" t="s">
        <v>2168</v>
      </c>
      <c r="S22" s="1181"/>
    </row>
    <row r="23" spans="1:19" ht="24.6" customHeight="1">
      <c r="A23" s="1456" t="s">
        <v>2163</v>
      </c>
      <c r="B23" s="1457"/>
      <c r="C23" s="1457"/>
      <c r="D23" s="1457"/>
      <c r="E23" s="1457"/>
      <c r="F23" s="1457"/>
      <c r="G23" s="1457"/>
      <c r="H23" s="1457"/>
      <c r="I23" s="1457"/>
      <c r="J23" s="1457"/>
      <c r="K23" s="1457"/>
      <c r="L23" s="1457"/>
      <c r="M23" s="1457"/>
      <c r="N23" s="1457"/>
      <c r="O23" s="1457"/>
      <c r="P23" s="1457"/>
      <c r="Q23" s="1458"/>
      <c r="R23" s="1181"/>
      <c r="S23" s="1181"/>
    </row>
    <row r="24" spans="1:19" ht="24.6" customHeight="1">
      <c r="A24" s="1456" t="s">
        <v>2164</v>
      </c>
      <c r="B24" s="1457"/>
      <c r="C24" s="1457"/>
      <c r="D24" s="1457"/>
      <c r="E24" s="1457"/>
      <c r="F24" s="1457"/>
      <c r="G24" s="1457"/>
      <c r="H24" s="1457"/>
      <c r="I24" s="1457"/>
      <c r="J24" s="1457"/>
      <c r="K24" s="1457"/>
      <c r="L24" s="1457"/>
      <c r="M24" s="1457"/>
      <c r="N24" s="1457"/>
      <c r="O24" s="1457"/>
      <c r="P24" s="1457"/>
      <c r="Q24" s="1458"/>
      <c r="R24" s="1181"/>
      <c r="S24" s="1181"/>
    </row>
    <row r="25" spans="1:19" ht="24.6" customHeight="1">
      <c r="A25" s="1456" t="s">
        <v>2165</v>
      </c>
      <c r="B25" s="1457"/>
      <c r="C25" s="1457"/>
      <c r="D25" s="1457"/>
      <c r="E25" s="1457"/>
      <c r="F25" s="1457"/>
      <c r="G25" s="1457"/>
      <c r="H25" s="1457"/>
      <c r="I25" s="1457"/>
      <c r="J25" s="1457"/>
      <c r="K25" s="1457"/>
      <c r="L25" s="1457"/>
      <c r="M25" s="1457"/>
      <c r="N25" s="1457"/>
      <c r="O25" s="1457"/>
      <c r="P25" s="1457"/>
      <c r="Q25" s="1458"/>
      <c r="R25" s="1181"/>
      <c r="S25" s="1181"/>
    </row>
    <row r="26" spans="1:19" ht="24.6" customHeight="1">
      <c r="A26" s="1456" t="s">
        <v>2166</v>
      </c>
      <c r="B26" s="1457"/>
      <c r="C26" s="1457"/>
      <c r="D26" s="1457"/>
      <c r="E26" s="1457"/>
      <c r="F26" s="1457"/>
      <c r="G26" s="1457"/>
      <c r="H26" s="1457"/>
      <c r="I26" s="1457"/>
      <c r="J26" s="1457"/>
      <c r="K26" s="1457"/>
      <c r="L26" s="1457"/>
      <c r="M26" s="1457"/>
      <c r="N26" s="1457"/>
      <c r="O26" s="1457"/>
      <c r="P26" s="1457"/>
      <c r="Q26" s="1458"/>
      <c r="R26" s="1130"/>
      <c r="S26" s="1130"/>
    </row>
    <row r="27" spans="1:19" ht="24.6" customHeight="1">
      <c r="A27" s="1459" t="s">
        <v>2167</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3.9" customHeight="1">
      <c r="A29" s="154">
        <v>1</v>
      </c>
      <c r="B29" s="155" t="s">
        <v>2850</v>
      </c>
      <c r="C29" s="156"/>
      <c r="D29" s="101"/>
      <c r="E29" s="101"/>
      <c r="F29" s="101"/>
      <c r="G29" s="101"/>
      <c r="I29" s="1170"/>
      <c r="J29" s="1170"/>
      <c r="K29" s="1170"/>
      <c r="L29" s="1155"/>
      <c r="M29" s="1155"/>
      <c r="O29" s="157" t="s">
        <v>1998</v>
      </c>
      <c r="P29" s="1422"/>
      <c r="Q29" s="1423"/>
    </row>
    <row r="30" spans="1:19" ht="3" customHeight="1"/>
    <row r="31" spans="1:19" ht="12" customHeight="1">
      <c r="B31" s="168" t="s">
        <v>2119</v>
      </c>
      <c r="C31" s="62" t="s">
        <v>3520</v>
      </c>
      <c r="E31" s="38"/>
      <c r="F31" s="38"/>
      <c r="G31" s="38"/>
      <c r="H31" s="38"/>
      <c r="I31" s="50"/>
      <c r="J31" s="40"/>
      <c r="K31" s="50"/>
      <c r="L31" s="40"/>
      <c r="M31" s="40"/>
      <c r="O31" s="78" t="s">
        <v>636</v>
      </c>
      <c r="P31" s="2208" t="s">
        <v>3702</v>
      </c>
      <c r="Q31" s="796"/>
    </row>
    <row r="32" spans="1:19" ht="12" customHeight="1">
      <c r="B32" s="55" t="s">
        <v>2122</v>
      </c>
      <c r="C32" s="62" t="s">
        <v>767</v>
      </c>
      <c r="E32" s="38"/>
      <c r="F32" s="38"/>
      <c r="G32" s="38"/>
      <c r="H32" s="38"/>
      <c r="J32" s="2209" t="s">
        <v>2297</v>
      </c>
      <c r="K32" s="2210"/>
      <c r="L32" s="2210"/>
      <c r="M32" s="2210"/>
      <c r="N32" s="2211"/>
      <c r="O32" s="78"/>
      <c r="P32" s="78"/>
      <c r="Q32" s="78"/>
    </row>
    <row r="33" spans="1:31" ht="11.25" customHeight="1">
      <c r="B33" s="79" t="s">
        <v>1996</v>
      </c>
      <c r="C33" s="79"/>
      <c r="D33" s="79"/>
      <c r="E33" s="79"/>
      <c r="F33" s="79"/>
      <c r="G33" s="1170"/>
      <c r="H33" s="1170"/>
      <c r="I33" s="1170"/>
      <c r="J33" s="1170"/>
      <c r="K33" s="1155"/>
      <c r="L33" s="1155"/>
      <c r="M33" s="1155"/>
      <c r="N33" s="1155"/>
      <c r="O33" s="1155"/>
      <c r="P33" s="60"/>
      <c r="S33" s="188"/>
      <c r="T33" s="188"/>
    </row>
    <row r="34" spans="1:31" ht="12" customHeight="1">
      <c r="A34" s="2212"/>
      <c r="B34" s="2213"/>
      <c r="C34" s="2213"/>
      <c r="D34" s="2213"/>
      <c r="E34" s="2213"/>
      <c r="F34" s="2213"/>
      <c r="G34" s="2213"/>
      <c r="H34" s="2213"/>
      <c r="I34" s="2213"/>
      <c r="J34" s="2213"/>
      <c r="K34" s="2213"/>
      <c r="L34" s="2213"/>
      <c r="M34" s="2213"/>
      <c r="N34" s="2213"/>
      <c r="O34" s="2213"/>
      <c r="P34" s="2213"/>
      <c r="Q34" s="2214"/>
      <c r="R34" s="561" t="s">
        <v>1333</v>
      </c>
      <c r="S34" s="562"/>
      <c r="T34" s="188"/>
      <c r="U34" s="162"/>
      <c r="V34" s="162"/>
      <c r="W34" s="162"/>
      <c r="X34" s="162"/>
      <c r="Y34" s="162"/>
      <c r="Z34" s="162"/>
      <c r="AA34" s="162"/>
      <c r="AB34" s="162"/>
      <c r="AC34" s="162"/>
      <c r="AD34" s="162"/>
      <c r="AE34" s="595"/>
    </row>
    <row r="35" spans="1:31" ht="11.25" customHeight="1">
      <c r="B35" s="163" t="s">
        <v>1997</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1333</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3.9" customHeight="1">
      <c r="A41" s="1163">
        <v>2</v>
      </c>
      <c r="B41" s="5" t="s">
        <v>2955</v>
      </c>
      <c r="C41" s="5"/>
      <c r="D41" s="5"/>
      <c r="E41" s="1162"/>
      <c r="F41" s="1162"/>
      <c r="G41" s="1162"/>
      <c r="H41" s="1162"/>
      <c r="K41" s="1162"/>
      <c r="L41" s="1162"/>
      <c r="M41" s="1162"/>
      <c r="O41" s="157" t="s">
        <v>1998</v>
      </c>
      <c r="P41" s="1422"/>
      <c r="Q41" s="1423"/>
    </row>
    <row r="42" spans="1:31" ht="3" customHeight="1">
      <c r="K42" s="1162"/>
      <c r="L42" s="1162"/>
    </row>
    <row r="43" spans="1:31" ht="12.75" customHeight="1">
      <c r="A43" s="1414" t="s">
        <v>3130</v>
      </c>
      <c r="B43" s="1414"/>
      <c r="C43" s="1414"/>
      <c r="D43" s="1414"/>
      <c r="E43" s="1414"/>
      <c r="F43" s="2215" t="s">
        <v>2962</v>
      </c>
      <c r="G43" s="2216"/>
      <c r="H43" s="2216"/>
      <c r="I43" s="2217"/>
      <c r="K43" s="2215" t="s">
        <v>2964</v>
      </c>
      <c r="L43" s="2216"/>
      <c r="M43" s="2216"/>
      <c r="N43" s="2217"/>
      <c r="P43" s="723" t="s">
        <v>3007</v>
      </c>
      <c r="Q43" s="2208" t="s">
        <v>3705</v>
      </c>
    </row>
    <row r="44" spans="1:31" ht="12.75" customHeight="1">
      <c r="A44" s="1414"/>
      <c r="B44" s="1414"/>
      <c r="C44" s="1414"/>
      <c r="D44" s="1414"/>
      <c r="E44" s="1414"/>
      <c r="F44" s="2218" t="s">
        <v>2963</v>
      </c>
      <c r="G44" s="2219"/>
      <c r="H44" s="2219"/>
      <c r="I44" s="2220"/>
      <c r="K44" s="2218" t="s">
        <v>2965</v>
      </c>
      <c r="L44" s="2219"/>
      <c r="M44" s="2219"/>
      <c r="N44" s="2220"/>
    </row>
    <row r="45" spans="1:31" ht="10.5" customHeight="1">
      <c r="A45" s="1414"/>
      <c r="B45" s="1414"/>
      <c r="C45" s="1414"/>
      <c r="D45" s="1414"/>
      <c r="E45" s="1414"/>
      <c r="F45" s="1464" t="s">
        <v>2959</v>
      </c>
      <c r="G45" s="1465"/>
      <c r="H45" s="1465"/>
      <c r="I45" s="1466"/>
      <c r="K45" s="2221" t="s">
        <v>2961</v>
      </c>
      <c r="L45" s="2222"/>
      <c r="M45" s="2222"/>
      <c r="N45" s="2223"/>
      <c r="P45" s="1467" t="s">
        <v>3215</v>
      </c>
      <c r="Q45" s="1467"/>
    </row>
    <row r="46" spans="1:31" ht="22.5" customHeight="1">
      <c r="A46" s="1414"/>
      <c r="B46" s="1414"/>
      <c r="C46" s="1414"/>
      <c r="D46" s="1414"/>
      <c r="E46" s="1414"/>
      <c r="F46" s="2224" t="s">
        <v>2975</v>
      </c>
      <c r="G46" s="166"/>
      <c r="I46" s="1469" t="s">
        <v>2974</v>
      </c>
      <c r="K46" s="2224" t="s">
        <v>2975</v>
      </c>
      <c r="M46" s="1162"/>
      <c r="N46" s="1469" t="s">
        <v>2974</v>
      </c>
      <c r="O46" s="1162"/>
      <c r="P46" s="1467"/>
      <c r="Q46" s="1467"/>
    </row>
    <row r="47" spans="1:31" ht="12.75" customHeight="1">
      <c r="A47" s="165"/>
      <c r="D47" s="2225" t="s">
        <v>2958</v>
      </c>
      <c r="F47" s="2226"/>
      <c r="G47" s="2227" t="s">
        <v>2960</v>
      </c>
      <c r="I47" s="1470"/>
      <c r="K47" s="2226"/>
      <c r="L47" s="2227" t="s">
        <v>2960</v>
      </c>
      <c r="N47" s="1470"/>
      <c r="O47" s="1162"/>
      <c r="P47" s="1474">
        <f>IF(AND('Part I-Project Information'!I160="Yes",'Part I-Project Information'!O160&gt;1),'Part I-Project Information'!O160, IF(AND('Part IV-Uses of Funds'!$T$163="Yes",'Part IX A-Scoring Criteria'!$O$241&gt;0),I53+N53,I53))</f>
        <v>20135370</v>
      </c>
      <c r="Q47" s="1475"/>
    </row>
    <row r="48" spans="1:31" ht="11.45" customHeight="1">
      <c r="A48" s="165"/>
      <c r="D48" s="2228" t="s">
        <v>602</v>
      </c>
      <c r="F48" s="722">
        <f>'Part VI-Revenues &amp; Expenses'!H62-'Part VI-Revenues &amp; Expenses'!H82</f>
        <v>0</v>
      </c>
      <c r="G48" s="2229">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29">
        <f>'DCA Underwriting Assumptions'!$J$13</f>
        <v>121529</v>
      </c>
      <c r="M48" s="532" t="str">
        <f>CONCATENATE("x ", K48," units = ")</f>
        <v xml:space="preserve">x 0 units = </v>
      </c>
      <c r="N48" s="615">
        <f>K48*L48</f>
        <v>0</v>
      </c>
      <c r="O48" s="1162"/>
      <c r="P48" s="1417" t="s">
        <v>3001</v>
      </c>
      <c r="Q48" s="1417"/>
    </row>
    <row r="49" spans="1:31" ht="11.45" customHeight="1">
      <c r="A49" s="165"/>
      <c r="D49" s="2228" t="s">
        <v>2956</v>
      </c>
      <c r="F49" s="722">
        <f>'Part VI-Revenues &amp; Expenses'!I62-'Part VI-Revenues &amp; Expenses'!I82</f>
        <v>55</v>
      </c>
      <c r="G49" s="2229">
        <f>'DCA Underwriting Assumptions'!$K$12</f>
        <v>126647</v>
      </c>
      <c r="H49" s="532" t="str">
        <f>CONCATENATE("x ", F49," units = ")</f>
        <v xml:space="preserve">x 55 units = </v>
      </c>
      <c r="I49" s="615">
        <f>F49*G49</f>
        <v>6965585</v>
      </c>
      <c r="K49" s="722">
        <f>IF(AND('Part IV-Uses of Funds'!$T$163 = "Yes", 'Part IX A-Scoring Criteria'!$O$241 &gt; 0),'Part VI-Revenues &amp; Expenses'!I$82,0)</f>
        <v>0</v>
      </c>
      <c r="L49" s="2229">
        <f>'DCA Underwriting Assumptions'!$K$13</f>
        <v>139312</v>
      </c>
      <c r="M49" s="532" t="str">
        <f>CONCATENATE("x ", K49," units = ")</f>
        <v xml:space="preserve">x 0 units = </v>
      </c>
      <c r="N49" s="615">
        <f>K49*L49</f>
        <v>0</v>
      </c>
      <c r="O49" s="1162"/>
      <c r="P49" s="1418"/>
      <c r="Q49" s="1418"/>
    </row>
    <row r="50" spans="1:31" ht="11.45" customHeight="1">
      <c r="A50" s="165"/>
      <c r="D50" s="2228" t="s">
        <v>2957</v>
      </c>
      <c r="F50" s="722">
        <f>'Part VI-Revenues &amp; Expenses'!J62-'Part VI-Revenues &amp; Expenses'!J82</f>
        <v>48</v>
      </c>
      <c r="G50" s="2229">
        <f>'DCA Underwriting Assumptions'!$L$12</f>
        <v>154003</v>
      </c>
      <c r="H50" s="532" t="str">
        <f>CONCATENATE("x ", F50," units = ")</f>
        <v xml:space="preserve">x 48 units = </v>
      </c>
      <c r="I50" s="615">
        <f>F50*G50</f>
        <v>7392144</v>
      </c>
      <c r="K50" s="722">
        <f>IF(AND('Part IV-Uses of Funds'!$T$163 = "Yes", 'Part IX A-Scoring Criteria'!$O$241 &gt; 0),'Part VI-Revenues &amp; Expenses'!J$82,0)</f>
        <v>0</v>
      </c>
      <c r="L50" s="2229">
        <f>'DCA Underwriting Assumptions'!$L$13</f>
        <v>169403</v>
      </c>
      <c r="M50" s="532" t="str">
        <f>CONCATENATE("x ", K50," units = ")</f>
        <v xml:space="preserve">x 0 units = </v>
      </c>
      <c r="N50" s="615">
        <f>K50*L50</f>
        <v>0</v>
      </c>
      <c r="O50" s="1162"/>
      <c r="P50" s="1418"/>
      <c r="Q50" s="1418"/>
    </row>
    <row r="51" spans="1:31" ht="11.45" customHeight="1">
      <c r="A51" s="165"/>
      <c r="D51" s="2228" t="s">
        <v>2966</v>
      </c>
      <c r="F51" s="722">
        <f>'Part VI-Revenues &amp; Expenses'!K62-'Part VI-Revenues &amp; Expenses'!K82</f>
        <v>24</v>
      </c>
      <c r="G51" s="2229">
        <f>'DCA Underwriting Assumptions'!$M$12</f>
        <v>199229</v>
      </c>
      <c r="H51" s="532" t="str">
        <f>CONCATENATE("x ", F51," units = ")</f>
        <v xml:space="preserve">x 24 units = </v>
      </c>
      <c r="I51" s="615">
        <f>F51*G51</f>
        <v>4781496</v>
      </c>
      <c r="K51" s="722">
        <f>IF(AND('Part IV-Uses of Funds'!$T$163 = "Yes", 'Part IX A-Scoring Criteria'!$O$241 &gt; 0),'Part VI-Revenues &amp; Expenses'!K$82,0)</f>
        <v>0</v>
      </c>
      <c r="L51" s="2229">
        <f>'DCA Underwriting Assumptions'!$M$13</f>
        <v>219152</v>
      </c>
      <c r="M51" s="532" t="str">
        <f>CONCATENATE("x ", K51," units = ")</f>
        <v xml:space="preserve">x 0 units = </v>
      </c>
      <c r="N51" s="615">
        <f>K51*L51</f>
        <v>0</v>
      </c>
      <c r="O51" s="1162"/>
      <c r="P51" s="1418"/>
      <c r="Q51" s="1418"/>
    </row>
    <row r="52" spans="1:31" ht="11.45" customHeight="1">
      <c r="A52" s="165"/>
      <c r="D52" s="2230" t="s">
        <v>2967</v>
      </c>
      <c r="F52" s="722">
        <f>'Part VI-Revenues &amp; Expenses'!L62-'Part VI-Revenues &amp; Expenses'!L82</f>
        <v>5</v>
      </c>
      <c r="G52" s="2229">
        <f>'DCA Underwriting Assumptions'!$N$12</f>
        <v>199229</v>
      </c>
      <c r="H52" s="532" t="str">
        <f>CONCATENATE("x ", F52," units = ")</f>
        <v xml:space="preserve">x 5 units = </v>
      </c>
      <c r="I52" s="615">
        <f>F52*G52</f>
        <v>996145</v>
      </c>
      <c r="K52" s="722">
        <f>IF(AND('Part IV-Uses of Funds'!$T$163 = "Yes", 'Part IX A-Scoring Criteria'!$O$241 &gt; 0),'Part VI-Revenues &amp; Expenses'!L$82,0)</f>
        <v>0</v>
      </c>
      <c r="L52" s="2229">
        <f>'DCA Underwriting Assumptions'!$N$13</f>
        <v>219152</v>
      </c>
      <c r="M52" s="532" t="str">
        <f>CONCATENATE("x ", K52," units = ")</f>
        <v xml:space="preserve">x 0 units = </v>
      </c>
      <c r="N52" s="615">
        <f>K52*L52</f>
        <v>0</v>
      </c>
      <c r="O52" s="1162"/>
      <c r="P52" s="1418"/>
      <c r="Q52" s="1418"/>
    </row>
    <row r="53" spans="1:31" ht="11.45" customHeight="1">
      <c r="A53" s="165"/>
      <c r="C53" s="166"/>
      <c r="D53" s="613" t="s">
        <v>2968</v>
      </c>
      <c r="F53" s="612">
        <f>SUM(F48:F52)</f>
        <v>132</v>
      </c>
      <c r="G53" s="2231"/>
      <c r="H53" s="722"/>
      <c r="I53" s="614">
        <f>SUM(I48:I52)</f>
        <v>20135370</v>
      </c>
      <c r="K53" s="612">
        <f>SUM(K48:K52)</f>
        <v>0</v>
      </c>
      <c r="M53" s="722"/>
      <c r="N53" s="614">
        <f>SUM(N48:N52)</f>
        <v>0</v>
      </c>
      <c r="O53" s="1162"/>
      <c r="P53" s="1468" t="str">
        <f>IF('Part IV-Uses of Funds'!$G$130&gt;P47,"CHECK TDC !!!","")</f>
        <v/>
      </c>
      <c r="Q53" s="1468"/>
    </row>
    <row r="54" spans="1:31" ht="3.75" customHeight="1">
      <c r="A54" s="165"/>
      <c r="C54" s="166"/>
      <c r="E54" s="65"/>
      <c r="F54" s="2231"/>
      <c r="G54" s="65"/>
      <c r="I54" s="65"/>
      <c r="J54" s="65"/>
      <c r="K54" s="1162"/>
      <c r="L54" s="2232"/>
      <c r="M54" s="1162"/>
      <c r="N54" s="1162"/>
      <c r="O54" s="1162"/>
      <c r="P54" s="1162"/>
      <c r="Q54" s="1162"/>
    </row>
    <row r="55" spans="1:31" ht="11.25" customHeight="1">
      <c r="B55" s="112" t="s">
        <v>1996</v>
      </c>
      <c r="D55" s="112"/>
      <c r="E55" s="112"/>
      <c r="F55" s="112"/>
      <c r="G55" s="112"/>
      <c r="H55" s="48"/>
      <c r="I55" s="1170"/>
      <c r="J55" s="1170"/>
      <c r="K55" s="163" t="s">
        <v>1997</v>
      </c>
      <c r="L55" s="1155"/>
      <c r="M55" s="1155"/>
      <c r="N55" s="1155"/>
      <c r="O55" s="1155"/>
      <c r="P55" s="1155"/>
      <c r="Q55" s="60"/>
    </row>
    <row r="56" spans="1:31" ht="11.45" customHeight="1">
      <c r="A56" s="2212"/>
      <c r="B56" s="2213"/>
      <c r="C56" s="2213"/>
      <c r="D56" s="2213"/>
      <c r="E56" s="2213"/>
      <c r="F56" s="2213"/>
      <c r="G56" s="2213"/>
      <c r="H56" s="2213"/>
      <c r="I56" s="2213"/>
      <c r="J56" s="2214"/>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3.9" customHeight="1">
      <c r="A58" s="1163">
        <v>3</v>
      </c>
      <c r="B58" s="5" t="s">
        <v>1263</v>
      </c>
      <c r="C58" s="5"/>
      <c r="D58" s="5"/>
      <c r="E58" s="1162"/>
      <c r="F58" s="1162"/>
      <c r="G58" s="1162"/>
      <c r="H58" s="1162"/>
      <c r="M58" s="1162"/>
      <c r="O58" s="157" t="s">
        <v>1998</v>
      </c>
      <c r="P58" s="1422"/>
      <c r="Q58" s="1423"/>
    </row>
    <row r="59" spans="1:31" ht="3" customHeight="1"/>
    <row r="60" spans="1:31" ht="11.45" customHeight="1">
      <c r="A60" s="165"/>
      <c r="C60" s="166" t="s">
        <v>102</v>
      </c>
      <c r="D60" s="166"/>
      <c r="E60" s="166"/>
      <c r="F60" s="166"/>
      <c r="G60" s="166"/>
      <c r="H60" s="166"/>
      <c r="K60" s="2233" t="str">
        <f>'Part I-Project Information'!$H$66</f>
        <v>Family</v>
      </c>
      <c r="L60" s="2234"/>
      <c r="M60" s="2235"/>
      <c r="N60" s="1162"/>
    </row>
    <row r="61" spans="1:31" ht="11.25" customHeight="1">
      <c r="B61" s="112" t="s">
        <v>1996</v>
      </c>
      <c r="D61" s="112"/>
      <c r="E61" s="112"/>
      <c r="F61" s="112"/>
      <c r="G61" s="112"/>
      <c r="H61" s="48"/>
      <c r="I61" s="1170"/>
      <c r="J61" s="1170"/>
      <c r="K61" s="163" t="s">
        <v>1997</v>
      </c>
      <c r="L61" s="1155"/>
      <c r="M61" s="1155"/>
      <c r="N61" s="1155"/>
      <c r="O61" s="1155"/>
      <c r="P61" s="1155"/>
      <c r="Q61" s="60"/>
    </row>
    <row r="62" spans="1:31" ht="11.45" customHeight="1">
      <c r="A62" s="2212" t="s">
        <v>3769</v>
      </c>
      <c r="B62" s="2213"/>
      <c r="C62" s="2213"/>
      <c r="D62" s="2213"/>
      <c r="E62" s="2213"/>
      <c r="F62" s="2213"/>
      <c r="G62" s="2213"/>
      <c r="H62" s="2213"/>
      <c r="I62" s="2213"/>
      <c r="J62" s="2214"/>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3.9" customHeight="1">
      <c r="A64" s="1163">
        <v>4</v>
      </c>
      <c r="B64" s="1163" t="s">
        <v>2851</v>
      </c>
      <c r="C64" s="132"/>
      <c r="D64" s="1162"/>
      <c r="E64" s="1162"/>
      <c r="F64" s="1162"/>
      <c r="G64" s="1162"/>
      <c r="H64" s="1162"/>
      <c r="I64" s="1162"/>
      <c r="J64" s="1162"/>
      <c r="K64" s="1162"/>
      <c r="L64" s="1162"/>
      <c r="M64" s="1162"/>
      <c r="O64" s="157" t="s">
        <v>1998</v>
      </c>
      <c r="P64" s="1422"/>
      <c r="Q64" s="1423"/>
    </row>
    <row r="65" spans="1:31" ht="3" customHeight="1"/>
    <row r="66" spans="1:31" ht="12.6" customHeight="1">
      <c r="B66" s="168" t="s">
        <v>2119</v>
      </c>
      <c r="C66" s="1462" t="s">
        <v>323</v>
      </c>
      <c r="D66" s="1463"/>
      <c r="E66" s="1463"/>
      <c r="F66" s="1463"/>
      <c r="G66" s="1463"/>
      <c r="H66" s="1463"/>
      <c r="I66" s="1463"/>
      <c r="J66" s="1463"/>
      <c r="K66" s="1463"/>
      <c r="L66" s="1463"/>
      <c r="M66" s="1463"/>
      <c r="O66" s="169"/>
      <c r="P66" s="2208" t="s">
        <v>3770</v>
      </c>
    </row>
    <row r="67" spans="1:31" ht="12" customHeight="1">
      <c r="B67" s="55" t="s">
        <v>2122</v>
      </c>
      <c r="C67" s="38" t="s">
        <v>2976</v>
      </c>
      <c r="D67" s="38"/>
      <c r="E67" s="38"/>
      <c r="F67" s="38"/>
      <c r="G67" s="38"/>
      <c r="H67" s="38"/>
      <c r="I67" s="38"/>
      <c r="J67" s="38"/>
      <c r="K67" s="38"/>
      <c r="L67" s="38"/>
      <c r="M67" s="38"/>
      <c r="O67" s="38"/>
      <c r="P67" s="38"/>
      <c r="Q67" s="38"/>
    </row>
    <row r="68" spans="1:31" ht="10.9" customHeight="1">
      <c r="A68" s="170"/>
      <c r="B68" s="50"/>
      <c r="C68" s="78" t="s">
        <v>1860</v>
      </c>
      <c r="D68" s="38" t="s">
        <v>612</v>
      </c>
      <c r="E68" s="1160"/>
      <c r="F68" s="1160"/>
      <c r="G68" s="1160"/>
      <c r="H68" s="40"/>
      <c r="I68" s="50"/>
      <c r="J68" s="44" t="s">
        <v>2946</v>
      </c>
      <c r="K68" s="2236" t="s">
        <v>3771</v>
      </c>
      <c r="L68" s="2237"/>
      <c r="M68" s="2237"/>
      <c r="N68" s="2237"/>
      <c r="O68" s="2237"/>
      <c r="P68" s="2237"/>
      <c r="Q68" s="2238"/>
    </row>
    <row r="69" spans="1:31" ht="10.9" customHeight="1">
      <c r="A69" s="170"/>
      <c r="B69" s="50"/>
      <c r="C69" s="78" t="s">
        <v>1861</v>
      </c>
      <c r="D69" s="38" t="s">
        <v>1936</v>
      </c>
      <c r="E69" s="1160"/>
      <c r="F69" s="1160"/>
      <c r="G69" s="1160"/>
      <c r="H69" s="40"/>
      <c r="I69" s="50"/>
      <c r="J69" s="44" t="s">
        <v>2946</v>
      </c>
      <c r="K69" s="2239"/>
      <c r="L69" s="2240"/>
      <c r="M69" s="2240"/>
      <c r="N69" s="2240"/>
      <c r="O69" s="2240"/>
      <c r="P69" s="2240"/>
      <c r="Q69" s="2241"/>
    </row>
    <row r="70" spans="1:31" ht="10.9" customHeight="1">
      <c r="A70" s="170"/>
      <c r="B70" s="50"/>
      <c r="C70" s="78" t="s">
        <v>1862</v>
      </c>
      <c r="D70" s="38" t="s">
        <v>324</v>
      </c>
      <c r="E70" s="1160"/>
      <c r="J70" s="44" t="s">
        <v>2946</v>
      </c>
      <c r="K70" s="2242"/>
      <c r="L70" s="2243"/>
      <c r="M70" s="2243"/>
      <c r="N70" s="2243"/>
      <c r="O70" s="2243"/>
      <c r="P70" s="2243"/>
      <c r="Q70" s="2244"/>
    </row>
    <row r="71" spans="1:31" ht="11.25" customHeight="1">
      <c r="B71" s="112" t="s">
        <v>1996</v>
      </c>
      <c r="D71" s="112"/>
      <c r="E71" s="112"/>
      <c r="F71" s="112"/>
      <c r="G71" s="112"/>
      <c r="H71" s="48"/>
      <c r="I71" s="1170"/>
      <c r="J71" s="1170"/>
      <c r="K71" s="1170"/>
      <c r="L71" s="1155"/>
      <c r="M71" s="1155"/>
      <c r="N71" s="1155"/>
      <c r="O71" s="1155"/>
      <c r="P71" s="1155"/>
      <c r="Q71" s="60"/>
    </row>
    <row r="72" spans="1:31" ht="12" customHeight="1">
      <c r="A72" s="2212" t="s">
        <v>3787</v>
      </c>
      <c r="B72" s="2213"/>
      <c r="C72" s="2213"/>
      <c r="D72" s="2213"/>
      <c r="E72" s="2213"/>
      <c r="F72" s="2213"/>
      <c r="G72" s="2213"/>
      <c r="H72" s="2213"/>
      <c r="I72" s="2213"/>
      <c r="J72" s="2213"/>
      <c r="K72" s="2213"/>
      <c r="L72" s="2213"/>
      <c r="M72" s="2213"/>
      <c r="N72" s="2213"/>
      <c r="O72" s="2213"/>
      <c r="P72" s="2213"/>
      <c r="Q72" s="2214"/>
      <c r="U72" s="162"/>
      <c r="V72" s="162"/>
      <c r="W72" s="162"/>
      <c r="X72" s="162"/>
      <c r="Y72" s="162"/>
      <c r="Z72" s="162"/>
      <c r="AA72" s="162"/>
      <c r="AB72" s="162"/>
      <c r="AC72" s="162"/>
      <c r="AD72" s="162"/>
      <c r="AE72" s="595"/>
    </row>
    <row r="73" spans="1:31" ht="11.25" customHeight="1">
      <c r="B73" s="163" t="s">
        <v>1997</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4.9000000000000004" customHeight="1">
      <c r="A75" s="1155"/>
      <c r="B75" s="1170"/>
      <c r="C75" s="1162"/>
      <c r="D75" s="1162"/>
      <c r="E75" s="1162"/>
      <c r="F75" s="1162"/>
      <c r="G75" s="1162"/>
      <c r="H75" s="1162"/>
      <c r="I75" s="1162"/>
      <c r="J75" s="1162"/>
      <c r="K75" s="1162"/>
      <c r="L75" s="1162"/>
      <c r="M75" s="1162"/>
      <c r="N75" s="1162"/>
      <c r="O75" s="1162"/>
      <c r="P75" s="1162"/>
      <c r="Q75" s="1155"/>
    </row>
    <row r="76" spans="1:31" ht="13.9" customHeight="1">
      <c r="A76" s="1163">
        <v>5</v>
      </c>
      <c r="B76" s="1163" t="s">
        <v>2852</v>
      </c>
      <c r="C76" s="1163"/>
      <c r="D76" s="1162"/>
      <c r="E76" s="1162"/>
      <c r="F76" s="1162"/>
      <c r="G76" s="1162"/>
      <c r="H76" s="1162"/>
      <c r="I76" s="1162"/>
      <c r="J76" s="1162"/>
      <c r="K76" s="1162"/>
      <c r="O76" s="157" t="s">
        <v>1998</v>
      </c>
      <c r="P76" s="1422"/>
      <c r="Q76" s="1423"/>
    </row>
    <row r="77" spans="1:31" ht="3" customHeight="1"/>
    <row r="78" spans="1:31" ht="12" customHeight="1">
      <c r="B78" s="55" t="s">
        <v>2119</v>
      </c>
      <c r="C78" s="171" t="s">
        <v>2627</v>
      </c>
      <c r="D78" s="159"/>
      <c r="E78" s="159"/>
      <c r="F78" s="159"/>
      <c r="G78" s="159"/>
      <c r="H78" s="159"/>
      <c r="I78" s="50"/>
      <c r="J78" s="50"/>
      <c r="K78" s="50"/>
      <c r="L78" s="593" t="s">
        <v>2119</v>
      </c>
      <c r="M78" s="2236" t="s">
        <v>3772</v>
      </c>
      <c r="N78" s="2237"/>
      <c r="O78" s="2237"/>
      <c r="P78" s="2245"/>
      <c r="Q78" s="796"/>
    </row>
    <row r="79" spans="1:31" ht="12" customHeight="1">
      <c r="B79" s="55" t="s">
        <v>2122</v>
      </c>
      <c r="C79" s="62" t="s">
        <v>2174</v>
      </c>
      <c r="D79" s="159"/>
      <c r="E79" s="159"/>
      <c r="F79" s="159"/>
      <c r="L79" s="593" t="s">
        <v>2122</v>
      </c>
      <c r="M79" s="2239" t="s">
        <v>3788</v>
      </c>
      <c r="N79" s="2240"/>
      <c r="O79" s="2240"/>
      <c r="P79" s="2246"/>
      <c r="Q79" s="796"/>
    </row>
    <row r="80" spans="1:31" ht="12" customHeight="1">
      <c r="B80" s="55" t="s">
        <v>800</v>
      </c>
      <c r="C80" s="62" t="s">
        <v>3521</v>
      </c>
      <c r="D80" s="159"/>
      <c r="E80" s="159"/>
      <c r="F80" s="159"/>
      <c r="L80" s="593" t="s">
        <v>800</v>
      </c>
      <c r="M80" s="2247">
        <v>0.95</v>
      </c>
      <c r="N80" s="2248"/>
      <c r="O80" s="2248"/>
      <c r="P80" s="2249"/>
      <c r="Q80" s="815"/>
    </row>
    <row r="81" spans="1:31" ht="12" customHeight="1">
      <c r="B81" s="55" t="s">
        <v>2254</v>
      </c>
      <c r="C81" s="62" t="s">
        <v>2628</v>
      </c>
      <c r="D81" s="159"/>
      <c r="E81" s="159"/>
      <c r="F81" s="159"/>
      <c r="L81" s="593" t="s">
        <v>2254</v>
      </c>
      <c r="M81" s="2250">
        <v>9.1999999999999998E-2</v>
      </c>
      <c r="N81" s="2251"/>
      <c r="O81" s="2251"/>
      <c r="P81" s="2252"/>
      <c r="Q81" s="796"/>
    </row>
    <row r="82" spans="1:31" ht="12" customHeight="1">
      <c r="B82" s="168" t="s">
        <v>1858</v>
      </c>
      <c r="C82" s="1412" t="s">
        <v>3522</v>
      </c>
      <c r="D82" s="1412"/>
      <c r="E82" s="1412"/>
      <c r="F82" s="1412"/>
      <c r="G82" s="1412"/>
      <c r="H82" s="1412"/>
      <c r="I82" s="1412"/>
      <c r="J82" s="1412"/>
      <c r="K82" s="1412"/>
      <c r="L82" s="1412"/>
      <c r="M82" s="1412"/>
      <c r="N82" s="1412"/>
      <c r="O82" s="1412"/>
      <c r="P82" s="1412"/>
      <c r="Q82" s="1412"/>
    </row>
    <row r="83" spans="1:31" ht="12" customHeight="1">
      <c r="B83" s="55"/>
      <c r="C83" s="62"/>
      <c r="D83" s="1173" t="s">
        <v>2535</v>
      </c>
      <c r="E83" s="38" t="s">
        <v>659</v>
      </c>
      <c r="F83" s="38"/>
      <c r="H83" s="62"/>
      <c r="I83" s="1173" t="s">
        <v>2535</v>
      </c>
      <c r="J83" s="38" t="s">
        <v>659</v>
      </c>
      <c r="K83" s="38"/>
      <c r="M83" s="62"/>
      <c r="N83" s="1173" t="s">
        <v>2535</v>
      </c>
      <c r="O83" s="38" t="s">
        <v>659</v>
      </c>
      <c r="P83" s="38"/>
      <c r="Q83" s="593"/>
    </row>
    <row r="84" spans="1:31" ht="12" customHeight="1">
      <c r="B84" s="55"/>
      <c r="C84" s="62">
        <v>1</v>
      </c>
      <c r="D84" s="2253" t="s">
        <v>3790</v>
      </c>
      <c r="E84" s="2254" t="s">
        <v>3791</v>
      </c>
      <c r="F84" s="2254"/>
      <c r="G84" s="2254"/>
      <c r="H84" s="62">
        <v>3</v>
      </c>
      <c r="I84" s="2253"/>
      <c r="J84" s="2254"/>
      <c r="K84" s="2254"/>
      <c r="L84" s="2254"/>
      <c r="M84" s="62">
        <v>5</v>
      </c>
      <c r="N84" s="2253"/>
      <c r="O84" s="2254"/>
      <c r="P84" s="2254"/>
      <c r="Q84" s="2254"/>
    </row>
    <row r="85" spans="1:31" ht="12" customHeight="1">
      <c r="B85" s="55"/>
      <c r="C85" s="62">
        <v>2</v>
      </c>
      <c r="D85" s="2255"/>
      <c r="E85" s="2256"/>
      <c r="F85" s="2256"/>
      <c r="G85" s="2256"/>
      <c r="H85" s="62">
        <v>4</v>
      </c>
      <c r="I85" s="2255"/>
      <c r="J85" s="2256"/>
      <c r="K85" s="2256"/>
      <c r="L85" s="2256"/>
      <c r="M85" s="62">
        <v>6</v>
      </c>
      <c r="N85" s="2255"/>
      <c r="O85" s="2256"/>
      <c r="P85" s="2256"/>
      <c r="Q85" s="2256"/>
    </row>
    <row r="86" spans="1:31" ht="12" customHeight="1">
      <c r="B86" s="55" t="s">
        <v>1859</v>
      </c>
      <c r="C86" s="62" t="s">
        <v>0</v>
      </c>
      <c r="D86" s="159"/>
      <c r="E86" s="159"/>
      <c r="F86" s="159"/>
      <c r="G86" s="159"/>
      <c r="H86" s="159"/>
      <c r="I86" s="50"/>
      <c r="J86" s="50"/>
      <c r="K86" s="159"/>
      <c r="L86" s="1160"/>
      <c r="M86" s="1160"/>
      <c r="O86" s="593" t="s">
        <v>1859</v>
      </c>
      <c r="P86" s="2257" t="s">
        <v>3705</v>
      </c>
      <c r="Q86" s="815"/>
    </row>
    <row r="87" spans="1:31" ht="11.25" customHeight="1">
      <c r="B87" s="167" t="s">
        <v>1996</v>
      </c>
      <c r="D87" s="167"/>
      <c r="E87" s="167"/>
      <c r="F87" s="167"/>
      <c r="G87" s="167"/>
      <c r="H87" s="48"/>
      <c r="I87" s="1170"/>
      <c r="J87" s="1170"/>
      <c r="K87" s="1170"/>
      <c r="L87" s="1155"/>
      <c r="M87" s="1155"/>
      <c r="N87" s="1155"/>
      <c r="O87" s="1155"/>
      <c r="P87" s="1155"/>
      <c r="Q87" s="60"/>
    </row>
    <row r="88" spans="1:31" ht="22.9" customHeight="1">
      <c r="A88" s="2212" t="s">
        <v>3789</v>
      </c>
      <c r="B88" s="2213"/>
      <c r="C88" s="2213"/>
      <c r="D88" s="2213"/>
      <c r="E88" s="2213"/>
      <c r="F88" s="2213"/>
      <c r="G88" s="2213"/>
      <c r="H88" s="2213"/>
      <c r="I88" s="2213"/>
      <c r="J88" s="2213"/>
      <c r="K88" s="2213"/>
      <c r="L88" s="2213"/>
      <c r="M88" s="2213"/>
      <c r="N88" s="2213"/>
      <c r="O88" s="2213"/>
      <c r="P88" s="2213"/>
      <c r="Q88" s="2214"/>
      <c r="U88" s="162"/>
      <c r="V88" s="162"/>
      <c r="W88" s="162"/>
      <c r="X88" s="162"/>
      <c r="Y88" s="162"/>
      <c r="Z88" s="162"/>
      <c r="AA88" s="162"/>
      <c r="AB88" s="162"/>
      <c r="AC88" s="162"/>
      <c r="AD88" s="162"/>
      <c r="AE88" s="595"/>
    </row>
    <row r="89" spans="1:31" ht="11.25" customHeight="1">
      <c r="B89" s="163" t="s">
        <v>1997</v>
      </c>
      <c r="C89" s="164"/>
      <c r="D89" s="1162"/>
      <c r="E89" s="1162"/>
      <c r="F89" s="1162"/>
      <c r="G89" s="1162"/>
      <c r="H89" s="1162"/>
      <c r="I89" s="1162"/>
      <c r="J89" s="1162"/>
      <c r="K89" s="1162"/>
      <c r="L89" s="1162"/>
      <c r="M89" s="1162"/>
      <c r="N89" s="1162"/>
      <c r="O89" s="1162"/>
      <c r="P89" s="1162"/>
      <c r="Q89" s="1162"/>
    </row>
    <row r="90" spans="1:31" ht="22.9" customHeight="1">
      <c r="A90" s="1419"/>
      <c r="B90" s="1420"/>
      <c r="C90" s="1420"/>
      <c r="D90" s="1420"/>
      <c r="E90" s="1420"/>
      <c r="F90" s="1420"/>
      <c r="G90" s="1420"/>
      <c r="H90" s="1420"/>
      <c r="I90" s="1420"/>
      <c r="J90" s="1420"/>
      <c r="K90" s="1420"/>
      <c r="L90" s="1420"/>
      <c r="M90" s="1420"/>
      <c r="N90" s="1420"/>
      <c r="O90" s="1420"/>
      <c r="P90" s="1420"/>
      <c r="Q90" s="1421"/>
    </row>
    <row r="91" spans="1:31" ht="13.9" customHeight="1">
      <c r="A91" s="1163">
        <v>6</v>
      </c>
      <c r="B91" s="1163" t="s">
        <v>2853</v>
      </c>
      <c r="C91" s="1163"/>
      <c r="D91" s="1162"/>
      <c r="E91" s="1162"/>
      <c r="F91" s="1162"/>
      <c r="G91" s="1162"/>
      <c r="H91" s="1162"/>
      <c r="I91" s="1162"/>
      <c r="J91" s="1162"/>
      <c r="K91" s="1162"/>
      <c r="L91" s="1162"/>
      <c r="M91" s="1162"/>
      <c r="O91" s="157" t="s">
        <v>1998</v>
      </c>
      <c r="P91" s="1422"/>
      <c r="Q91" s="1423"/>
    </row>
    <row r="92" spans="1:31" ht="3" customHeight="1"/>
    <row r="93" spans="1:31" ht="12" customHeight="1">
      <c r="B93" s="55" t="s">
        <v>2119</v>
      </c>
      <c r="C93" s="62" t="s">
        <v>526</v>
      </c>
      <c r="D93" s="62"/>
      <c r="E93" s="62"/>
      <c r="F93" s="62"/>
      <c r="G93" s="62"/>
      <c r="H93" s="62"/>
      <c r="I93" s="62"/>
      <c r="J93" s="62"/>
      <c r="K93" s="62"/>
      <c r="L93" s="62"/>
      <c r="M93" s="62"/>
      <c r="O93" s="593" t="s">
        <v>2119</v>
      </c>
      <c r="P93" s="2208" t="s">
        <v>3702</v>
      </c>
      <c r="Q93" s="796"/>
    </row>
    <row r="94" spans="1:31" ht="12" customHeight="1">
      <c r="B94" s="55" t="s">
        <v>2122</v>
      </c>
      <c r="C94" s="62" t="s">
        <v>1391</v>
      </c>
      <c r="D94" s="62"/>
      <c r="E94" s="62"/>
      <c r="F94" s="62"/>
      <c r="G94" s="62"/>
      <c r="H94" s="62"/>
      <c r="I94" s="62"/>
      <c r="J94" s="62"/>
      <c r="K94" s="62"/>
      <c r="L94" s="38"/>
      <c r="M94" s="38"/>
      <c r="O94" s="593" t="s">
        <v>2122</v>
      </c>
      <c r="P94" s="2208" t="s">
        <v>3705</v>
      </c>
      <c r="Q94" s="796"/>
    </row>
    <row r="95" spans="1:31" ht="12" customHeight="1">
      <c r="A95" s="158"/>
      <c r="B95" s="44"/>
      <c r="D95" s="47" t="s">
        <v>588</v>
      </c>
      <c r="E95" s="50"/>
      <c r="F95" s="50"/>
      <c r="G95" s="50"/>
      <c r="H95" s="50"/>
      <c r="I95" s="50"/>
      <c r="L95" s="78" t="s">
        <v>589</v>
      </c>
      <c r="M95" s="2258" t="s">
        <v>3773</v>
      </c>
      <c r="N95" s="2259"/>
      <c r="O95" s="2259"/>
      <c r="P95" s="2260"/>
      <c r="Q95" s="796"/>
    </row>
    <row r="96" spans="1:31" ht="22.9" customHeight="1">
      <c r="A96" s="170"/>
      <c r="B96" s="1170"/>
      <c r="C96" s="177" t="s">
        <v>1860</v>
      </c>
      <c r="D96" s="1400" t="s">
        <v>489</v>
      </c>
      <c r="E96" s="2261"/>
      <c r="F96" s="2261"/>
      <c r="G96" s="2261"/>
      <c r="H96" s="2261"/>
      <c r="I96" s="2261"/>
      <c r="J96" s="2261"/>
      <c r="K96" s="2261"/>
      <c r="L96" s="2261"/>
      <c r="M96" s="2261"/>
      <c r="N96" s="2261"/>
      <c r="O96" s="177" t="s">
        <v>1860</v>
      </c>
      <c r="P96" s="2208" t="s">
        <v>3705</v>
      </c>
      <c r="Q96" s="796"/>
    </row>
    <row r="97" spans="1:32" ht="12" customHeight="1">
      <c r="A97" s="170"/>
      <c r="B97" s="1170"/>
      <c r="C97" s="78" t="s">
        <v>1861</v>
      </c>
      <c r="D97" s="62" t="s">
        <v>3524</v>
      </c>
      <c r="E97" s="62"/>
      <c r="F97" s="62"/>
      <c r="G97" s="62"/>
      <c r="H97" s="62"/>
      <c r="I97" s="62"/>
      <c r="J97" s="62"/>
      <c r="K97" s="62"/>
      <c r="L97" s="62"/>
      <c r="M97" s="62"/>
      <c r="O97" s="78" t="s">
        <v>1861</v>
      </c>
      <c r="P97" s="2208" t="s">
        <v>3705</v>
      </c>
      <c r="Q97" s="796"/>
    </row>
    <row r="98" spans="1:32" ht="12" customHeight="1">
      <c r="A98" s="170"/>
      <c r="B98" s="1170"/>
      <c r="C98" s="177" t="s">
        <v>1862</v>
      </c>
      <c r="D98" s="62" t="s">
        <v>3523</v>
      </c>
      <c r="E98" s="62"/>
      <c r="F98" s="62"/>
      <c r="G98" s="62"/>
      <c r="H98" s="62"/>
      <c r="I98" s="62"/>
      <c r="J98" s="62"/>
      <c r="K98" s="62"/>
      <c r="L98" s="62"/>
      <c r="M98" s="62"/>
      <c r="O98" s="177" t="s">
        <v>1862</v>
      </c>
      <c r="P98" s="2262" t="s">
        <v>3705</v>
      </c>
      <c r="Q98" s="797"/>
    </row>
    <row r="99" spans="1:32" s="158" customFormat="1" ht="24.75" customHeight="1">
      <c r="A99" s="170"/>
      <c r="B99" s="545"/>
      <c r="C99" s="192" t="s">
        <v>2520</v>
      </c>
      <c r="D99" s="1412" t="s">
        <v>2918</v>
      </c>
      <c r="E99" s="1412"/>
      <c r="F99" s="1412"/>
      <c r="G99" s="1412"/>
      <c r="H99" s="1412"/>
      <c r="I99" s="1412"/>
      <c r="J99" s="1412"/>
      <c r="K99" s="1412"/>
      <c r="L99" s="1412"/>
      <c r="M99" s="1412"/>
      <c r="N99" s="1412"/>
      <c r="O99" s="192" t="s">
        <v>2520</v>
      </c>
      <c r="P99" s="2263"/>
      <c r="Q99" s="816"/>
      <c r="AE99" s="596"/>
      <c r="AF99" s="596"/>
    </row>
    <row r="100" spans="1:32" ht="12" customHeight="1">
      <c r="B100" s="55" t="s">
        <v>800</v>
      </c>
      <c r="C100" s="62" t="s">
        <v>149</v>
      </c>
      <c r="D100" s="62"/>
      <c r="E100" s="62"/>
      <c r="F100" s="62"/>
      <c r="G100" s="62"/>
      <c r="H100" s="62"/>
      <c r="I100" s="62"/>
      <c r="J100" s="62"/>
      <c r="K100" s="62"/>
      <c r="L100" s="62"/>
      <c r="M100" s="62"/>
      <c r="O100" s="593" t="s">
        <v>800</v>
      </c>
      <c r="P100" s="2208"/>
      <c r="Q100" s="796"/>
    </row>
    <row r="101" spans="1:32" ht="12" customHeight="1">
      <c r="B101" s="55" t="s">
        <v>2254</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08" t="s">
        <v>3702</v>
      </c>
      <c r="Q102" s="796"/>
    </row>
    <row r="103" spans="1:32" ht="12" customHeight="1">
      <c r="B103" s="55"/>
      <c r="C103" s="78" t="s">
        <v>1861</v>
      </c>
      <c r="D103" s="62" t="s">
        <v>1525</v>
      </c>
      <c r="E103" s="62"/>
      <c r="F103" s="62"/>
      <c r="G103" s="62"/>
      <c r="H103" s="62"/>
      <c r="I103" s="62"/>
      <c r="J103" s="62"/>
      <c r="K103" s="62"/>
      <c r="L103" s="38"/>
      <c r="M103" s="38"/>
      <c r="O103" s="78" t="s">
        <v>1861</v>
      </c>
      <c r="P103" s="2208" t="s">
        <v>3702</v>
      </c>
      <c r="Q103" s="796"/>
    </row>
    <row r="104" spans="1:32" ht="12" customHeight="1">
      <c r="B104" s="55"/>
      <c r="C104" s="78" t="s">
        <v>1862</v>
      </c>
      <c r="D104" s="62" t="s">
        <v>1526</v>
      </c>
      <c r="E104" s="62"/>
      <c r="F104" s="62"/>
      <c r="G104" s="62"/>
      <c r="H104" s="62"/>
      <c r="I104" s="62"/>
      <c r="J104" s="62"/>
      <c r="K104" s="62"/>
      <c r="L104" s="38"/>
      <c r="M104" s="38"/>
      <c r="O104" s="78" t="s">
        <v>1862</v>
      </c>
      <c r="P104" s="2208" t="s">
        <v>3702</v>
      </c>
      <c r="Q104" s="796"/>
    </row>
    <row r="105" spans="1:32" ht="11.25" customHeight="1">
      <c r="B105" s="167" t="s">
        <v>1996</v>
      </c>
      <c r="D105" s="167"/>
      <c r="E105" s="167"/>
      <c r="F105" s="167"/>
      <c r="G105" s="167"/>
      <c r="H105" s="48"/>
      <c r="I105" s="1170"/>
      <c r="J105" s="1170"/>
      <c r="K105" s="1170"/>
      <c r="L105" s="1155"/>
      <c r="M105" s="1155"/>
      <c r="N105" s="1155"/>
      <c r="O105" s="1155"/>
      <c r="P105" s="1155"/>
      <c r="Q105" s="60"/>
    </row>
    <row r="106" spans="1:32" ht="13.15" customHeight="1">
      <c r="A106" s="2212" t="s">
        <v>3774</v>
      </c>
      <c r="B106" s="2213"/>
      <c r="C106" s="2213"/>
      <c r="D106" s="2213"/>
      <c r="E106" s="2213"/>
      <c r="F106" s="2213"/>
      <c r="G106" s="2213"/>
      <c r="H106" s="2213"/>
      <c r="I106" s="2213"/>
      <c r="J106" s="2213"/>
      <c r="K106" s="2213"/>
      <c r="L106" s="2213"/>
      <c r="M106" s="2213"/>
      <c r="N106" s="2213"/>
      <c r="O106" s="2213"/>
      <c r="P106" s="2213"/>
      <c r="Q106" s="2214"/>
      <c r="U106" s="162"/>
      <c r="V106" s="162"/>
      <c r="W106" s="162"/>
      <c r="X106" s="162"/>
      <c r="Y106" s="162"/>
      <c r="Z106" s="162"/>
      <c r="AA106" s="162"/>
      <c r="AB106" s="162"/>
      <c r="AC106" s="162"/>
      <c r="AD106" s="162"/>
      <c r="AE106" s="595"/>
    </row>
    <row r="107" spans="1:32" ht="11.25" customHeight="1">
      <c r="B107" s="163" t="s">
        <v>1997</v>
      </c>
      <c r="C107" s="164"/>
      <c r="D107" s="1162"/>
      <c r="E107" s="1162"/>
      <c r="F107" s="1162"/>
      <c r="G107" s="1162"/>
      <c r="H107" s="1162"/>
      <c r="I107" s="1162"/>
      <c r="J107" s="1162"/>
      <c r="K107" s="1162"/>
      <c r="L107" s="1162"/>
      <c r="M107" s="1162"/>
      <c r="N107" s="1162"/>
      <c r="O107" s="1162"/>
      <c r="P107" s="1162"/>
      <c r="Q107" s="1162"/>
    </row>
    <row r="108" spans="1:32" ht="13.15" customHeight="1">
      <c r="A108" s="1419"/>
      <c r="B108" s="1420"/>
      <c r="C108" s="1420"/>
      <c r="D108" s="1420"/>
      <c r="E108" s="1420"/>
      <c r="F108" s="1420"/>
      <c r="G108" s="1420"/>
      <c r="H108" s="1420"/>
      <c r="I108" s="1420"/>
      <c r="J108" s="1420"/>
      <c r="K108" s="1420"/>
      <c r="L108" s="1420"/>
      <c r="M108" s="1420"/>
      <c r="N108" s="1420"/>
      <c r="O108" s="1420"/>
      <c r="P108" s="1420"/>
      <c r="Q108" s="1421"/>
    </row>
    <row r="109" spans="1:32" ht="4.9000000000000004" customHeight="1">
      <c r="A109" s="1155"/>
      <c r="B109" s="1170"/>
      <c r="C109" s="1162"/>
      <c r="D109" s="1162"/>
      <c r="E109" s="1162"/>
      <c r="F109" s="1162"/>
      <c r="G109" s="1162"/>
      <c r="H109" s="1162"/>
      <c r="I109" s="1162"/>
      <c r="J109" s="1162"/>
      <c r="K109" s="1162"/>
      <c r="L109" s="1162"/>
      <c r="M109" s="1162"/>
      <c r="N109" s="1162"/>
      <c r="O109" s="1162"/>
      <c r="P109" s="1162"/>
      <c r="Q109" s="1155"/>
    </row>
    <row r="110" spans="1:32" ht="13.9" customHeight="1">
      <c r="A110" s="1163">
        <v>7</v>
      </c>
      <c r="B110" s="1163" t="s">
        <v>2854</v>
      </c>
      <c r="C110" s="48"/>
      <c r="D110" s="1162"/>
      <c r="E110" s="1162"/>
      <c r="F110" s="1162"/>
      <c r="G110" s="1162"/>
      <c r="H110" s="1162"/>
      <c r="I110" s="1162"/>
      <c r="J110" s="1162"/>
      <c r="K110" s="1162"/>
      <c r="L110" s="1162"/>
      <c r="M110" s="1162"/>
      <c r="O110" s="157" t="s">
        <v>1998</v>
      </c>
      <c r="P110" s="1422"/>
      <c r="Q110" s="1423"/>
    </row>
    <row r="111" spans="1:32" ht="6.6" customHeight="1"/>
    <row r="112" spans="1:32" ht="12" customHeight="1">
      <c r="B112" s="55" t="s">
        <v>2119</v>
      </c>
      <c r="C112" s="62" t="s">
        <v>2916</v>
      </c>
      <c r="D112" s="159"/>
      <c r="E112" s="159"/>
      <c r="F112" s="159"/>
      <c r="G112" s="159"/>
      <c r="H112" s="159"/>
      <c r="I112" s="50"/>
      <c r="J112" s="50"/>
      <c r="K112" s="50"/>
      <c r="L112" s="593" t="s">
        <v>2119</v>
      </c>
      <c r="M112" s="2264" t="s">
        <v>3792</v>
      </c>
      <c r="N112" s="2265"/>
      <c r="O112" s="2265"/>
      <c r="P112" s="2266"/>
      <c r="Q112" s="796"/>
    </row>
    <row r="113" spans="2:17" ht="12" customHeight="1">
      <c r="B113" s="55" t="s">
        <v>2122</v>
      </c>
      <c r="C113" s="62" t="s">
        <v>1646</v>
      </c>
      <c r="D113" s="159"/>
      <c r="E113" s="159"/>
      <c r="F113" s="159"/>
      <c r="G113" s="159"/>
      <c r="H113" s="159"/>
      <c r="I113" s="50"/>
      <c r="J113" s="50"/>
      <c r="K113" s="159"/>
      <c r="L113" s="159"/>
      <c r="M113" s="1160"/>
      <c r="O113" s="593" t="s">
        <v>2122</v>
      </c>
      <c r="P113" s="2208" t="s">
        <v>3702</v>
      </c>
      <c r="Q113" s="815"/>
    </row>
    <row r="114" spans="2:17" ht="12" customHeight="1">
      <c r="B114" s="55" t="s">
        <v>800</v>
      </c>
      <c r="C114" s="62" t="s">
        <v>158</v>
      </c>
      <c r="D114" s="159"/>
      <c r="E114" s="159"/>
      <c r="F114" s="159"/>
      <c r="G114" s="159"/>
      <c r="H114" s="159"/>
      <c r="I114" s="50"/>
      <c r="J114" s="50"/>
      <c r="K114" s="159"/>
      <c r="L114" s="1160"/>
      <c r="M114" s="1160"/>
      <c r="O114" s="593" t="s">
        <v>800</v>
      </c>
      <c r="P114" s="2208" t="s">
        <v>3705</v>
      </c>
      <c r="Q114" s="796"/>
    </row>
    <row r="115" spans="2:17" ht="12" customHeight="1">
      <c r="B115" s="55"/>
      <c r="C115" s="77" t="s">
        <v>1860</v>
      </c>
      <c r="D115" s="62" t="s">
        <v>2917</v>
      </c>
      <c r="E115" s="159"/>
      <c r="F115" s="159"/>
      <c r="G115" s="159"/>
      <c r="H115" s="159"/>
      <c r="I115" s="50"/>
      <c r="J115" s="50"/>
      <c r="K115" s="159"/>
      <c r="L115" s="78" t="s">
        <v>1860</v>
      </c>
      <c r="M115" s="2264" t="s">
        <v>3792</v>
      </c>
      <c r="N115" s="2265"/>
      <c r="O115" s="2265"/>
      <c r="P115" s="2266"/>
      <c r="Q115" s="815"/>
    </row>
    <row r="116" spans="2:17" ht="12" customHeight="1">
      <c r="B116" s="165"/>
      <c r="C116" s="78" t="s">
        <v>1861</v>
      </c>
      <c r="D116" s="44" t="s">
        <v>2787</v>
      </c>
      <c r="E116" s="50"/>
      <c r="F116" s="50"/>
      <c r="G116" s="50"/>
      <c r="H116" s="62"/>
      <c r="I116" s="50"/>
      <c r="J116" s="50"/>
      <c r="K116" s="159"/>
      <c r="L116" s="1160"/>
      <c r="M116" s="1160"/>
      <c r="O116" s="593" t="s">
        <v>1861</v>
      </c>
      <c r="P116" s="2257">
        <v>65</v>
      </c>
      <c r="Q116" s="815"/>
    </row>
    <row r="117" spans="2:17" ht="12" customHeight="1">
      <c r="B117" s="165"/>
      <c r="C117" s="593" t="s">
        <v>1862</v>
      </c>
      <c r="D117" s="62" t="s">
        <v>1472</v>
      </c>
      <c r="E117" s="50"/>
      <c r="F117" s="50"/>
      <c r="G117" s="50"/>
      <c r="H117" s="62"/>
      <c r="I117" s="50"/>
      <c r="J117" s="50"/>
      <c r="K117" s="159"/>
      <c r="L117" s="1160"/>
      <c r="M117" s="1160"/>
      <c r="N117" s="1160"/>
      <c r="O117" s="1160"/>
    </row>
    <row r="118" spans="2:17" ht="11.45" customHeight="1">
      <c r="B118" s="1155"/>
      <c r="C118" s="78"/>
      <c r="D118" s="2267" t="s">
        <v>3793</v>
      </c>
      <c r="E118" s="2268"/>
      <c r="F118" s="2268"/>
      <c r="G118" s="2268"/>
      <c r="H118" s="2268"/>
      <c r="I118" s="2268"/>
      <c r="J118" s="2268"/>
      <c r="K118" s="2268"/>
      <c r="L118" s="2268"/>
      <c r="M118" s="2268"/>
      <c r="N118" s="2268"/>
      <c r="O118" s="2268"/>
      <c r="P118" s="2268"/>
      <c r="Q118" s="2269"/>
    </row>
    <row r="119" spans="2:17" ht="12" customHeight="1">
      <c r="B119" s="55" t="s">
        <v>2254</v>
      </c>
      <c r="C119" s="62" t="s">
        <v>1341</v>
      </c>
      <c r="D119" s="159"/>
      <c r="E119" s="159"/>
      <c r="F119" s="159"/>
      <c r="G119" s="159"/>
      <c r="H119" s="159"/>
      <c r="I119" s="50"/>
      <c r="J119" s="50"/>
      <c r="K119" s="159"/>
      <c r="L119" s="1160"/>
      <c r="M119" s="1160"/>
      <c r="N119" s="1160"/>
      <c r="O119" s="593" t="s">
        <v>2254</v>
      </c>
    </row>
    <row r="120" spans="2:17" ht="12" customHeight="1">
      <c r="B120" s="55"/>
      <c r="C120" s="78" t="s">
        <v>1860</v>
      </c>
      <c r="D120" s="62" t="s">
        <v>156</v>
      </c>
      <c r="E120" s="159"/>
      <c r="F120" s="159"/>
      <c r="G120" s="159"/>
      <c r="H120" s="159"/>
      <c r="I120" s="50"/>
      <c r="J120" s="50"/>
      <c r="K120" s="159"/>
      <c r="L120" s="1160"/>
      <c r="M120" s="1160"/>
      <c r="O120" s="78" t="s">
        <v>1860</v>
      </c>
      <c r="P120" s="2208" t="s">
        <v>3702</v>
      </c>
      <c r="Q120" s="796"/>
    </row>
    <row r="121" spans="2:17" ht="12" customHeight="1">
      <c r="B121" s="55"/>
      <c r="C121" s="78" t="s">
        <v>1861</v>
      </c>
      <c r="D121" s="62" t="s">
        <v>1342</v>
      </c>
      <c r="E121" s="159"/>
      <c r="F121" s="159"/>
      <c r="G121" s="159"/>
      <c r="H121" s="50"/>
      <c r="I121" s="50"/>
      <c r="J121" s="50"/>
      <c r="K121" s="159"/>
      <c r="L121" s="1160"/>
      <c r="M121" s="1160"/>
      <c r="O121" s="78" t="s">
        <v>1861</v>
      </c>
      <c r="P121" s="2257" t="s">
        <v>3705</v>
      </c>
      <c r="Q121" s="815"/>
    </row>
    <row r="122" spans="2:17" ht="12" customHeight="1">
      <c r="B122" s="55"/>
      <c r="C122" s="78"/>
      <c r="D122" s="62" t="s">
        <v>2829</v>
      </c>
      <c r="E122" s="556" t="s">
        <v>2600</v>
      </c>
      <c r="F122" s="62" t="s">
        <v>2830</v>
      </c>
      <c r="G122" s="50"/>
      <c r="H122" s="62"/>
      <c r="I122" s="50"/>
      <c r="J122" s="50"/>
      <c r="K122" s="159"/>
      <c r="L122" s="1160"/>
      <c r="M122" s="1160"/>
      <c r="O122" s="556" t="s">
        <v>2600</v>
      </c>
      <c r="P122" s="2270">
        <v>0.45</v>
      </c>
      <c r="Q122" s="817"/>
    </row>
    <row r="123" spans="2:17" ht="12" customHeight="1">
      <c r="B123" s="55"/>
      <c r="C123" s="78"/>
      <c r="E123" s="556" t="s">
        <v>2601</v>
      </c>
      <c r="F123" s="62" t="s">
        <v>2831</v>
      </c>
      <c r="G123" s="50"/>
      <c r="H123" s="62"/>
      <c r="I123" s="50"/>
      <c r="J123" s="50"/>
      <c r="K123" s="159"/>
      <c r="L123" s="1160"/>
      <c r="M123" s="1160"/>
      <c r="O123" s="556" t="s">
        <v>2601</v>
      </c>
      <c r="P123" s="2257" t="s">
        <v>3705</v>
      </c>
      <c r="Q123" s="815"/>
    </row>
    <row r="124" spans="2:17" ht="12" customHeight="1">
      <c r="B124" s="55"/>
      <c r="C124" s="78"/>
      <c r="E124" s="556" t="s">
        <v>2602</v>
      </c>
      <c r="F124" s="62" t="s">
        <v>2832</v>
      </c>
      <c r="G124" s="50"/>
      <c r="H124" s="62"/>
      <c r="I124" s="50"/>
      <c r="J124" s="50"/>
      <c r="K124" s="159"/>
      <c r="L124" s="1160"/>
      <c r="M124" s="1160"/>
      <c r="O124" s="556" t="s">
        <v>2602</v>
      </c>
      <c r="P124" s="2257" t="s">
        <v>3705</v>
      </c>
      <c r="Q124" s="815"/>
    </row>
    <row r="125" spans="2:17" ht="12" customHeight="1">
      <c r="B125" s="55"/>
      <c r="C125" s="78" t="s">
        <v>1862</v>
      </c>
      <c r="D125" s="62" t="s">
        <v>1343</v>
      </c>
      <c r="E125" s="159"/>
      <c r="F125" s="159"/>
      <c r="G125" s="159"/>
      <c r="H125" s="62"/>
      <c r="I125" s="50"/>
      <c r="J125" s="50"/>
      <c r="K125" s="159"/>
      <c r="L125" s="1160"/>
      <c r="M125" s="1160"/>
      <c r="O125" s="78" t="s">
        <v>1862</v>
      </c>
      <c r="P125" s="2208" t="s">
        <v>3705</v>
      </c>
      <c r="Q125" s="796"/>
    </row>
    <row r="126" spans="2:17" ht="12" customHeight="1">
      <c r="B126" s="55"/>
      <c r="C126" s="78"/>
      <c r="D126" s="62" t="s">
        <v>2829</v>
      </c>
      <c r="E126" s="556" t="s">
        <v>2600</v>
      </c>
      <c r="F126" s="62" t="s">
        <v>2833</v>
      </c>
      <c r="G126" s="50"/>
      <c r="H126" s="62"/>
      <c r="I126" s="50"/>
      <c r="J126" s="50"/>
      <c r="K126" s="159"/>
      <c r="L126" s="1160"/>
      <c r="O126" s="556" t="s">
        <v>2600</v>
      </c>
      <c r="P126" s="2270">
        <v>0.38</v>
      </c>
      <c r="Q126" s="818"/>
    </row>
    <row r="127" spans="2:17" ht="12" customHeight="1">
      <c r="B127" s="55"/>
      <c r="C127" s="78"/>
      <c r="E127" s="556" t="s">
        <v>2601</v>
      </c>
      <c r="F127" s="62" t="s">
        <v>2834</v>
      </c>
      <c r="G127" s="50"/>
      <c r="H127" s="62"/>
      <c r="I127" s="50"/>
      <c r="J127" s="50"/>
      <c r="O127" s="556" t="s">
        <v>2601</v>
      </c>
      <c r="P127" s="2257" t="s">
        <v>3702</v>
      </c>
      <c r="Q127" s="815"/>
    </row>
    <row r="128" spans="2:17" ht="12" customHeight="1">
      <c r="B128" s="55"/>
      <c r="C128" s="78"/>
      <c r="E128" s="556" t="s">
        <v>2602</v>
      </c>
      <c r="F128" s="62" t="s">
        <v>2832</v>
      </c>
      <c r="G128" s="50"/>
      <c r="H128" s="62"/>
      <c r="I128" s="50"/>
      <c r="J128" s="50"/>
      <c r="O128" s="556" t="s">
        <v>2602</v>
      </c>
      <c r="P128" s="2257" t="s">
        <v>3705</v>
      </c>
      <c r="Q128" s="815"/>
    </row>
    <row r="129" spans="1:31" ht="12" customHeight="1">
      <c r="B129" s="44"/>
      <c r="C129" s="78" t="s">
        <v>2520</v>
      </c>
      <c r="D129" s="62" t="s">
        <v>2835</v>
      </c>
      <c r="E129" s="159"/>
      <c r="F129" s="159"/>
      <c r="G129" s="159"/>
      <c r="H129" s="159"/>
      <c r="I129" s="50"/>
      <c r="J129" s="50"/>
      <c r="O129" s="78" t="s">
        <v>2520</v>
      </c>
      <c r="P129" s="2208" t="s">
        <v>3702</v>
      </c>
      <c r="Q129" s="796"/>
    </row>
    <row r="130" spans="1:31" ht="12" customHeight="1">
      <c r="B130" s="55" t="s">
        <v>1858</v>
      </c>
      <c r="C130" s="172" t="s">
        <v>2578</v>
      </c>
      <c r="D130" s="159"/>
      <c r="E130" s="159"/>
      <c r="F130" s="159"/>
      <c r="G130" s="159"/>
      <c r="H130" s="159"/>
      <c r="I130" s="50"/>
      <c r="J130" s="50"/>
      <c r="K130" s="159"/>
      <c r="L130" s="1160"/>
      <c r="M130" s="1160"/>
      <c r="N130" s="1160"/>
      <c r="O130" s="1160"/>
      <c r="P130" s="1160"/>
      <c r="Q130" s="1160"/>
    </row>
    <row r="131" spans="1:31" ht="12" customHeight="1">
      <c r="C131" s="78" t="s">
        <v>1860</v>
      </c>
      <c r="D131" s="62" t="s">
        <v>2664</v>
      </c>
      <c r="E131" s="159"/>
      <c r="F131" s="2271" t="s">
        <v>3705</v>
      </c>
      <c r="G131" s="799"/>
      <c r="H131" s="78" t="s">
        <v>1658</v>
      </c>
      <c r="I131" s="65" t="s">
        <v>2837</v>
      </c>
      <c r="L131" s="2271" t="s">
        <v>3702</v>
      </c>
      <c r="M131" s="799"/>
      <c r="N131" s="593" t="s">
        <v>546</v>
      </c>
      <c r="O131" s="62" t="s">
        <v>1661</v>
      </c>
      <c r="P131" s="2271" t="s">
        <v>3702</v>
      </c>
      <c r="Q131" s="799"/>
    </row>
    <row r="132" spans="1:31" ht="12" customHeight="1">
      <c r="B132" s="44"/>
      <c r="C132" s="78" t="s">
        <v>1861</v>
      </c>
      <c r="D132" s="62" t="s">
        <v>3262</v>
      </c>
      <c r="E132" s="159"/>
      <c r="F132" s="2272" t="s">
        <v>3702</v>
      </c>
      <c r="G132" s="800"/>
      <c r="H132" s="78" t="s">
        <v>1659</v>
      </c>
      <c r="I132" s="65" t="s">
        <v>2838</v>
      </c>
      <c r="L132" s="2272" t="s">
        <v>3702</v>
      </c>
      <c r="M132" s="800"/>
      <c r="N132" s="593" t="s">
        <v>547</v>
      </c>
      <c r="O132" s="62" t="s">
        <v>1660</v>
      </c>
      <c r="P132" s="2272" t="s">
        <v>3702</v>
      </c>
      <c r="Q132" s="800"/>
    </row>
    <row r="133" spans="1:31" ht="12" customHeight="1">
      <c r="B133" s="44"/>
      <c r="C133" s="78" t="s">
        <v>1862</v>
      </c>
      <c r="D133" s="62" t="s">
        <v>2836</v>
      </c>
      <c r="E133" s="159"/>
      <c r="F133" s="2272" t="s">
        <v>3702</v>
      </c>
      <c r="G133" s="800"/>
      <c r="H133" s="593" t="s">
        <v>101</v>
      </c>
      <c r="I133" s="65" t="s">
        <v>3263</v>
      </c>
      <c r="L133" s="2272" t="s">
        <v>3702</v>
      </c>
      <c r="M133" s="800"/>
      <c r="N133" s="593" t="s">
        <v>3265</v>
      </c>
      <c r="O133" s="62" t="s">
        <v>1662</v>
      </c>
      <c r="P133" s="2273" t="s">
        <v>3705</v>
      </c>
      <c r="Q133" s="801"/>
    </row>
    <row r="134" spans="1:31" ht="12" customHeight="1">
      <c r="B134" s="44"/>
      <c r="C134" s="78" t="s">
        <v>2520</v>
      </c>
      <c r="D134" s="62" t="s">
        <v>3266</v>
      </c>
      <c r="E134" s="159"/>
      <c r="F134" s="2273" t="s">
        <v>3702</v>
      </c>
      <c r="G134" s="801"/>
      <c r="H134" s="593" t="s">
        <v>545</v>
      </c>
      <c r="I134" s="62" t="s">
        <v>3261</v>
      </c>
      <c r="L134" s="2273" t="s">
        <v>3705</v>
      </c>
      <c r="M134" s="801"/>
      <c r="O134" s="78"/>
    </row>
    <row r="135" spans="1:31" ht="12" customHeight="1">
      <c r="B135" s="44"/>
      <c r="C135" s="593" t="s">
        <v>3560</v>
      </c>
      <c r="D135" s="62" t="s">
        <v>3264</v>
      </c>
      <c r="E135" s="159"/>
      <c r="F135" s="159"/>
      <c r="G135" s="159"/>
      <c r="H135" s="159"/>
      <c r="I135" s="159"/>
      <c r="J135" s="159"/>
      <c r="K135" s="159"/>
      <c r="L135" s="159"/>
      <c r="M135" s="62"/>
      <c r="O135" s="78"/>
      <c r="P135" s="78"/>
    </row>
    <row r="136" spans="1:31" ht="12" customHeight="1">
      <c r="B136" s="44"/>
      <c r="D136" s="2258" t="s">
        <v>3794</v>
      </c>
      <c r="E136" s="2259"/>
      <c r="F136" s="2259"/>
      <c r="G136" s="2259"/>
      <c r="H136" s="2259"/>
      <c r="I136" s="2259"/>
      <c r="J136" s="2259"/>
      <c r="K136" s="2259"/>
      <c r="L136" s="2259"/>
      <c r="M136" s="2259"/>
      <c r="N136" s="2259"/>
      <c r="O136" s="2259"/>
      <c r="P136" s="2274"/>
      <c r="Q136" s="796"/>
    </row>
    <row r="137" spans="1:31" ht="12" customHeight="1">
      <c r="B137" s="55" t="s">
        <v>1859</v>
      </c>
      <c r="C137" s="62" t="s">
        <v>1371</v>
      </c>
      <c r="D137" s="159"/>
      <c r="E137" s="159"/>
      <c r="F137" s="159"/>
      <c r="G137" s="159"/>
      <c r="H137" s="159"/>
      <c r="I137" s="50"/>
      <c r="J137" s="50"/>
      <c r="K137" s="159"/>
      <c r="L137" s="159"/>
      <c r="M137" s="1160"/>
      <c r="O137" s="593" t="s">
        <v>1859</v>
      </c>
      <c r="P137" s="2257" t="s">
        <v>1030</v>
      </c>
      <c r="Q137" s="796"/>
    </row>
    <row r="138" spans="1:31" ht="12" customHeight="1">
      <c r="A138" s="170"/>
      <c r="B138" s="50"/>
      <c r="C138" s="78" t="s">
        <v>1860</v>
      </c>
      <c r="D138" s="62" t="s">
        <v>3267</v>
      </c>
      <c r="E138" s="159"/>
      <c r="F138" s="159"/>
      <c r="G138" s="159"/>
      <c r="H138" s="159"/>
      <c r="O138" s="78" t="s">
        <v>1860</v>
      </c>
      <c r="P138" s="2208"/>
      <c r="Q138" s="796"/>
    </row>
    <row r="139" spans="1:31" ht="12" customHeight="1">
      <c r="A139" s="170"/>
      <c r="B139" s="1170"/>
      <c r="C139" s="78" t="s">
        <v>1861</v>
      </c>
      <c r="D139" s="62" t="s">
        <v>523</v>
      </c>
      <c r="E139" s="62"/>
      <c r="F139" s="62"/>
      <c r="G139" s="62"/>
      <c r="H139" s="62"/>
      <c r="I139" s="50"/>
      <c r="J139" s="50"/>
      <c r="K139" s="62"/>
      <c r="L139" s="62"/>
      <c r="M139" s="62"/>
      <c r="O139" s="78" t="s">
        <v>1861</v>
      </c>
      <c r="P139" s="2208"/>
      <c r="Q139" s="796"/>
    </row>
    <row r="140" spans="1:31" ht="12" customHeight="1">
      <c r="A140" s="170"/>
      <c r="B140" s="1170"/>
      <c r="C140" s="78" t="s">
        <v>1862</v>
      </c>
      <c r="D140" s="62" t="s">
        <v>728</v>
      </c>
      <c r="E140" s="62"/>
      <c r="F140" s="62"/>
      <c r="G140" s="62"/>
      <c r="H140" s="62"/>
      <c r="I140" s="50"/>
      <c r="J140" s="50"/>
      <c r="K140" s="62"/>
      <c r="L140" s="62"/>
      <c r="M140" s="62"/>
      <c r="O140" s="78" t="s">
        <v>1862</v>
      </c>
      <c r="P140" s="2208"/>
      <c r="Q140" s="796"/>
    </row>
    <row r="141" spans="1:31" ht="12" customHeight="1">
      <c r="B141" s="55" t="s">
        <v>2082</v>
      </c>
      <c r="C141" s="62" t="s">
        <v>1877</v>
      </c>
      <c r="D141" s="159"/>
      <c r="E141" s="159"/>
      <c r="F141" s="159"/>
      <c r="G141" s="159"/>
      <c r="H141" s="159"/>
      <c r="I141" s="50"/>
      <c r="J141" s="50"/>
      <c r="K141" s="159"/>
      <c r="L141" s="159"/>
      <c r="M141" s="1160"/>
      <c r="O141" s="593" t="s">
        <v>2082</v>
      </c>
      <c r="P141" s="2208" t="s">
        <v>1030</v>
      </c>
      <c r="Q141" s="796"/>
    </row>
    <row r="142" spans="1:31" ht="4.9000000000000004" customHeight="1"/>
    <row r="143" spans="1:31" ht="11.25" customHeight="1">
      <c r="B143" s="167" t="s">
        <v>1996</v>
      </c>
      <c r="D143" s="167"/>
      <c r="E143" s="167"/>
      <c r="F143" s="167"/>
      <c r="G143" s="167"/>
      <c r="H143" s="48"/>
      <c r="I143" s="1170"/>
      <c r="J143" s="1170"/>
      <c r="K143" s="1170"/>
      <c r="L143" s="1155"/>
      <c r="M143" s="1155"/>
      <c r="N143" s="1155"/>
      <c r="O143" s="1155"/>
      <c r="P143" s="1155"/>
      <c r="Q143" s="60"/>
    </row>
    <row r="144" spans="1:31" ht="12" customHeight="1">
      <c r="A144" s="2212" t="s">
        <v>3839</v>
      </c>
      <c r="B144" s="2213"/>
      <c r="C144" s="2213"/>
      <c r="D144" s="2213"/>
      <c r="E144" s="2213"/>
      <c r="F144" s="2213"/>
      <c r="G144" s="2213"/>
      <c r="H144" s="2213"/>
      <c r="I144" s="2213"/>
      <c r="J144" s="2213"/>
      <c r="K144" s="2213"/>
      <c r="L144" s="2213"/>
      <c r="M144" s="2213"/>
      <c r="N144" s="2213"/>
      <c r="O144" s="2213"/>
      <c r="P144" s="2213"/>
      <c r="Q144" s="2214"/>
      <c r="R144" s="561" t="s">
        <v>1333</v>
      </c>
      <c r="S144" s="562"/>
      <c r="U144" s="162"/>
      <c r="V144" s="162"/>
      <c r="W144" s="162"/>
      <c r="X144" s="162"/>
      <c r="Y144" s="162"/>
      <c r="Z144" s="162"/>
      <c r="AA144" s="162"/>
      <c r="AB144" s="162"/>
      <c r="AC144" s="162"/>
      <c r="AD144" s="162"/>
      <c r="AE144" s="595"/>
    </row>
    <row r="145" spans="1:31" ht="11.25" customHeight="1">
      <c r="B145" s="163" t="s">
        <v>1997</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1333</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3.9" customHeight="1">
      <c r="A148" s="1163">
        <v>8</v>
      </c>
      <c r="B148" s="1163" t="s">
        <v>2855</v>
      </c>
      <c r="C148" s="1163"/>
      <c r="D148" s="1162"/>
      <c r="E148" s="1162"/>
      <c r="F148" s="1162"/>
      <c r="G148" s="1162"/>
      <c r="H148" s="1162"/>
      <c r="I148" s="1162"/>
      <c r="J148" s="1162"/>
      <c r="K148" s="1162"/>
      <c r="O148" s="157" t="s">
        <v>1998</v>
      </c>
      <c r="P148" s="1422"/>
      <c r="Q148" s="1423"/>
    </row>
    <row r="149" spans="1:31" ht="12" customHeight="1">
      <c r="B149" s="55" t="s">
        <v>2119</v>
      </c>
      <c r="C149" s="62" t="s">
        <v>3260</v>
      </c>
      <c r="D149" s="62"/>
      <c r="E149" s="62"/>
      <c r="F149" s="62"/>
      <c r="G149" s="62"/>
      <c r="I149" s="62" t="s">
        <v>2949</v>
      </c>
      <c r="K149" s="2275">
        <v>42004</v>
      </c>
      <c r="L149" s="2276"/>
      <c r="N149" s="62"/>
      <c r="O149" s="593" t="s">
        <v>2119</v>
      </c>
      <c r="P149" s="2208" t="s">
        <v>3705</v>
      </c>
      <c r="Q149" s="796"/>
    </row>
    <row r="150" spans="1:31" ht="12" customHeight="1">
      <c r="A150" s="165"/>
      <c r="B150" s="55" t="s">
        <v>2122</v>
      </c>
      <c r="C150" s="166" t="s">
        <v>157</v>
      </c>
      <c r="D150" s="166"/>
      <c r="E150" s="166"/>
      <c r="F150" s="166"/>
      <c r="G150" s="166"/>
      <c r="H150" s="166"/>
      <c r="M150" s="593" t="s">
        <v>2122</v>
      </c>
      <c r="N150" s="2277" t="s">
        <v>3840</v>
      </c>
      <c r="O150" s="2278"/>
      <c r="P150" s="1446"/>
      <c r="Q150" s="1447"/>
    </row>
    <row r="151" spans="1:31" ht="12" customHeight="1">
      <c r="A151" s="165"/>
      <c r="B151" s="55" t="s">
        <v>800</v>
      </c>
      <c r="C151" s="166" t="s">
        <v>729</v>
      </c>
      <c r="D151" s="166"/>
      <c r="E151" s="166"/>
      <c r="F151" s="166"/>
      <c r="G151" s="166"/>
      <c r="H151" s="166"/>
      <c r="J151" s="593" t="s">
        <v>800</v>
      </c>
      <c r="K151" s="2258" t="s">
        <v>3795</v>
      </c>
      <c r="L151" s="2259"/>
      <c r="M151" s="2259"/>
      <c r="N151" s="2259"/>
      <c r="O151" s="2259"/>
      <c r="P151" s="2274"/>
      <c r="Q151" s="796"/>
    </row>
    <row r="152" spans="1:31" ht="12" customHeight="1">
      <c r="A152" s="165"/>
      <c r="B152" s="55" t="s">
        <v>2254</v>
      </c>
      <c r="C152" s="166" t="s">
        <v>3541</v>
      </c>
      <c r="D152" s="166"/>
      <c r="E152" s="166"/>
      <c r="F152" s="166"/>
      <c r="G152" s="166"/>
      <c r="H152" s="166"/>
      <c r="J152" s="593"/>
      <c r="K152" s="593"/>
      <c r="L152" s="593"/>
      <c r="M152" s="593"/>
      <c r="N152" s="593"/>
      <c r="O152" s="593" t="s">
        <v>2254</v>
      </c>
      <c r="P152" s="2208" t="s">
        <v>3702</v>
      </c>
      <c r="Q152" s="796"/>
    </row>
    <row r="153" spans="1:31" ht="12" customHeight="1">
      <c r="B153" s="167" t="s">
        <v>1996</v>
      </c>
      <c r="D153" s="167"/>
      <c r="E153" s="167"/>
      <c r="F153" s="167"/>
      <c r="G153" s="167"/>
      <c r="H153" s="48"/>
      <c r="I153" s="1170"/>
      <c r="J153" s="1170"/>
      <c r="K153" s="1170"/>
      <c r="L153" s="1155"/>
      <c r="M153" s="1155"/>
      <c r="N153" s="1155"/>
      <c r="O153" s="1155"/>
      <c r="P153" s="1155"/>
      <c r="Q153" s="60"/>
    </row>
    <row r="154" spans="1:31" ht="11.45" customHeight="1">
      <c r="A154" s="2212" t="s">
        <v>3796</v>
      </c>
      <c r="B154" s="2213"/>
      <c r="C154" s="2213"/>
      <c r="D154" s="2213"/>
      <c r="E154" s="2213"/>
      <c r="F154" s="2213"/>
      <c r="G154" s="2213"/>
      <c r="H154" s="2213"/>
      <c r="I154" s="2213"/>
      <c r="J154" s="2213"/>
      <c r="K154" s="2213"/>
      <c r="L154" s="2213"/>
      <c r="M154" s="2213"/>
      <c r="N154" s="2213"/>
      <c r="O154" s="2213"/>
      <c r="P154" s="2213"/>
      <c r="Q154" s="2214"/>
      <c r="U154" s="162"/>
      <c r="V154" s="162"/>
      <c r="W154" s="162"/>
      <c r="X154" s="162"/>
      <c r="Y154" s="162"/>
      <c r="Z154" s="162"/>
      <c r="AA154" s="162"/>
      <c r="AB154" s="162"/>
      <c r="AC154" s="162"/>
      <c r="AD154" s="162"/>
      <c r="AE154" s="595"/>
    </row>
    <row r="155" spans="1:31" ht="12" customHeight="1">
      <c r="B155" s="163" t="s">
        <v>1997</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3.9" customHeight="1">
      <c r="A158" s="1163">
        <v>9</v>
      </c>
      <c r="B158" s="1163" t="s">
        <v>2856</v>
      </c>
      <c r="C158" s="1163"/>
      <c r="D158" s="1162"/>
      <c r="E158" s="1162"/>
      <c r="F158" s="1162"/>
      <c r="G158" s="1162"/>
      <c r="H158" s="1162"/>
      <c r="I158" s="1162"/>
      <c r="J158" s="1162"/>
      <c r="K158" s="1162"/>
      <c r="L158" s="1162"/>
      <c r="M158" s="1162"/>
      <c r="O158" s="157" t="s">
        <v>1998</v>
      </c>
      <c r="P158" s="1422"/>
      <c r="Q158" s="1423"/>
    </row>
    <row r="159" spans="1:31" ht="21.75" customHeight="1">
      <c r="B159" s="168" t="s">
        <v>2119</v>
      </c>
      <c r="C159" s="1412" t="s">
        <v>3525</v>
      </c>
      <c r="D159" s="1412"/>
      <c r="E159" s="1412"/>
      <c r="F159" s="1412"/>
      <c r="G159" s="1412"/>
      <c r="H159" s="1412"/>
      <c r="I159" s="1412"/>
      <c r="J159" s="1412"/>
      <c r="K159" s="1412"/>
      <c r="L159" s="1412"/>
      <c r="M159" s="1412"/>
      <c r="N159" s="1412"/>
      <c r="O159" s="192" t="s">
        <v>2119</v>
      </c>
      <c r="P159" s="2208" t="s">
        <v>3705</v>
      </c>
      <c r="Q159" s="796"/>
    </row>
    <row r="160" spans="1:31" ht="22.15" customHeight="1">
      <c r="B160" s="168" t="s">
        <v>2122</v>
      </c>
      <c r="C160" s="1412" t="s">
        <v>2679</v>
      </c>
      <c r="D160" s="1412"/>
      <c r="E160" s="1412"/>
      <c r="F160" s="1412"/>
      <c r="G160" s="1412"/>
      <c r="H160" s="1412"/>
      <c r="I160" s="1412"/>
      <c r="J160" s="1412"/>
      <c r="K160" s="1412"/>
      <c r="L160" s="1412"/>
      <c r="M160" s="1412"/>
      <c r="N160" s="1412"/>
      <c r="O160" s="192" t="s">
        <v>2122</v>
      </c>
      <c r="P160" s="2208"/>
      <c r="Q160" s="796"/>
    </row>
    <row r="161" spans="1:32" ht="21.75" customHeight="1">
      <c r="B161" s="168" t="s">
        <v>800</v>
      </c>
      <c r="C161" s="1412" t="s">
        <v>2839</v>
      </c>
      <c r="D161" s="1412"/>
      <c r="E161" s="1412"/>
      <c r="F161" s="1412"/>
      <c r="G161" s="1412"/>
      <c r="H161" s="1412"/>
      <c r="I161" s="1412"/>
      <c r="J161" s="1412"/>
      <c r="K161" s="1412"/>
      <c r="L161" s="1412"/>
      <c r="M161" s="1412"/>
      <c r="N161" s="1412"/>
      <c r="O161" s="192" t="s">
        <v>800</v>
      </c>
      <c r="P161" s="2208"/>
      <c r="Q161" s="796"/>
    </row>
    <row r="162" spans="1:32" ht="12" customHeight="1">
      <c r="B162" s="167" t="s">
        <v>1996</v>
      </c>
      <c r="D162" s="167"/>
      <c r="E162" s="167"/>
      <c r="F162" s="167"/>
      <c r="G162" s="167"/>
      <c r="H162" s="48"/>
      <c r="I162" s="1170"/>
      <c r="J162" s="1170"/>
      <c r="K162" s="1170"/>
      <c r="L162" s="1155"/>
      <c r="M162" s="1155"/>
      <c r="N162" s="1155"/>
      <c r="O162" s="1155"/>
      <c r="P162" s="1155"/>
      <c r="Q162" s="60"/>
    </row>
    <row r="163" spans="1:32" ht="11.45" customHeight="1">
      <c r="A163" s="2212" t="s">
        <v>3797</v>
      </c>
      <c r="B163" s="2213"/>
      <c r="C163" s="2213"/>
      <c r="D163" s="2213"/>
      <c r="E163" s="2213"/>
      <c r="F163" s="2213"/>
      <c r="G163" s="2213"/>
      <c r="H163" s="2213"/>
      <c r="I163" s="2213"/>
      <c r="J163" s="2213"/>
      <c r="K163" s="2213"/>
      <c r="L163" s="2213"/>
      <c r="M163" s="2213"/>
      <c r="N163" s="2213"/>
      <c r="O163" s="2213"/>
      <c r="P163" s="2213"/>
      <c r="Q163" s="2214"/>
      <c r="U163" s="162"/>
      <c r="V163" s="162"/>
      <c r="W163" s="162"/>
      <c r="X163" s="162"/>
      <c r="Y163" s="162"/>
      <c r="Z163" s="162"/>
      <c r="AA163" s="162"/>
      <c r="AB163" s="162"/>
      <c r="AC163" s="162"/>
      <c r="AD163" s="162"/>
      <c r="AE163" s="595"/>
    </row>
    <row r="164" spans="1:32" ht="12" customHeight="1">
      <c r="B164" s="163" t="s">
        <v>1997</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3.9" customHeight="1">
      <c r="A167" s="1140">
        <v>10</v>
      </c>
      <c r="B167" s="1444" t="s">
        <v>2857</v>
      </c>
      <c r="C167" s="1444"/>
      <c r="D167" s="1444"/>
      <c r="O167" s="157" t="s">
        <v>1998</v>
      </c>
      <c r="P167" s="1422"/>
      <c r="Q167" s="1423"/>
    </row>
    <row r="168" spans="1:32" ht="12" customHeight="1">
      <c r="B168" s="168" t="s">
        <v>2119</v>
      </c>
      <c r="C168" s="173" t="s">
        <v>498</v>
      </c>
      <c r="D168" s="173"/>
      <c r="E168" s="173"/>
      <c r="F168" s="173"/>
      <c r="G168" s="173"/>
      <c r="H168" s="173"/>
      <c r="I168" s="173"/>
      <c r="J168" s="173"/>
      <c r="K168" s="173"/>
      <c r="L168" s="173"/>
      <c r="M168" s="173"/>
      <c r="O168" s="192" t="s">
        <v>2119</v>
      </c>
      <c r="P168" s="2208" t="s">
        <v>3705</v>
      </c>
      <c r="Q168" s="796"/>
    </row>
    <row r="169" spans="1:32" ht="12" customHeight="1">
      <c r="B169" s="168" t="s">
        <v>2122</v>
      </c>
      <c r="C169" s="173" t="s">
        <v>2840</v>
      </c>
      <c r="D169" s="173"/>
      <c r="E169" s="173"/>
      <c r="F169" s="173"/>
      <c r="G169" s="173"/>
      <c r="H169" s="173"/>
      <c r="I169" s="173"/>
      <c r="J169" s="173"/>
      <c r="K169" s="173"/>
      <c r="L169" s="173"/>
      <c r="M169" s="173"/>
      <c r="O169" s="192" t="s">
        <v>2122</v>
      </c>
      <c r="P169" s="2208" t="s">
        <v>3705</v>
      </c>
      <c r="Q169" s="796"/>
    </row>
    <row r="170" spans="1:32" ht="12" customHeight="1">
      <c r="B170" s="168" t="s">
        <v>800</v>
      </c>
      <c r="C170" s="173" t="s">
        <v>2841</v>
      </c>
      <c r="D170" s="173"/>
      <c r="E170" s="173"/>
      <c r="F170" s="173"/>
      <c r="G170" s="173"/>
      <c r="H170" s="173"/>
      <c r="I170" s="173"/>
      <c r="J170" s="173"/>
      <c r="K170" s="173"/>
      <c r="L170" s="173"/>
      <c r="M170" s="173"/>
      <c r="O170" s="192" t="s">
        <v>800</v>
      </c>
      <c r="P170" s="2208" t="s">
        <v>3705</v>
      </c>
      <c r="Q170" s="796"/>
    </row>
    <row r="171" spans="1:32" ht="12" customHeight="1">
      <c r="B171" s="168"/>
      <c r="C171" s="173" t="s">
        <v>2829</v>
      </c>
      <c r="D171" s="173"/>
      <c r="E171" s="556" t="s">
        <v>1860</v>
      </c>
      <c r="F171" s="173" t="s">
        <v>2842</v>
      </c>
      <c r="G171" s="173"/>
      <c r="H171" s="173"/>
      <c r="I171" s="173"/>
      <c r="J171" s="173"/>
      <c r="K171" s="173"/>
      <c r="L171" s="173"/>
      <c r="M171" s="173"/>
      <c r="O171" s="556" t="s">
        <v>1860</v>
      </c>
      <c r="P171" s="2208" t="s">
        <v>3705</v>
      </c>
      <c r="Q171" s="796"/>
    </row>
    <row r="172" spans="1:32" ht="12" customHeight="1">
      <c r="B172" s="168"/>
      <c r="C172" s="173"/>
      <c r="D172" s="173"/>
      <c r="E172" s="556" t="s">
        <v>1861</v>
      </c>
      <c r="F172" s="173" t="s">
        <v>2843</v>
      </c>
      <c r="G172" s="173"/>
      <c r="H172" s="173"/>
      <c r="I172" s="173"/>
      <c r="J172" s="173"/>
      <c r="K172" s="173"/>
      <c r="L172" s="173"/>
      <c r="M172" s="173"/>
      <c r="O172" s="556" t="s">
        <v>1861</v>
      </c>
      <c r="P172" s="2208" t="s">
        <v>3705</v>
      </c>
      <c r="Q172" s="796"/>
    </row>
    <row r="173" spans="1:32" s="158" customFormat="1" ht="21.75" customHeight="1">
      <c r="B173" s="168"/>
      <c r="C173" s="173"/>
      <c r="D173" s="173"/>
      <c r="E173" s="192" t="s">
        <v>1862</v>
      </c>
      <c r="F173" s="1412" t="s">
        <v>2844</v>
      </c>
      <c r="G173" s="1412"/>
      <c r="H173" s="1412"/>
      <c r="I173" s="1412"/>
      <c r="J173" s="1412"/>
      <c r="K173" s="1412"/>
      <c r="L173" s="1412"/>
      <c r="M173" s="1412"/>
      <c r="N173" s="1412"/>
      <c r="O173" s="192" t="s">
        <v>1862</v>
      </c>
      <c r="P173" s="2263" t="s">
        <v>3705</v>
      </c>
      <c r="Q173" s="816"/>
      <c r="AE173" s="596"/>
      <c r="AF173" s="596"/>
    </row>
    <row r="174" spans="1:32" ht="12" customHeight="1">
      <c r="B174" s="168"/>
      <c r="C174" s="173"/>
      <c r="D174" s="173"/>
      <c r="E174" s="556" t="s">
        <v>2520</v>
      </c>
      <c r="F174" s="173" t="s">
        <v>2845</v>
      </c>
      <c r="G174" s="173"/>
      <c r="H174" s="173"/>
      <c r="I174" s="173"/>
      <c r="J174" s="173"/>
      <c r="K174" s="173"/>
      <c r="L174" s="173"/>
      <c r="M174" s="173"/>
      <c r="O174" s="556" t="s">
        <v>2520</v>
      </c>
      <c r="P174" s="2208" t="s">
        <v>3705</v>
      </c>
      <c r="Q174" s="796"/>
    </row>
    <row r="175" spans="1:32" s="158" customFormat="1" ht="21.75" customHeight="1">
      <c r="B175" s="168"/>
      <c r="C175" s="173"/>
      <c r="D175" s="173"/>
      <c r="E175" s="192" t="s">
        <v>1658</v>
      </c>
      <c r="F175" s="1412" t="s">
        <v>2846</v>
      </c>
      <c r="G175" s="1412"/>
      <c r="H175" s="1412"/>
      <c r="I175" s="1412"/>
      <c r="J175" s="1412"/>
      <c r="K175" s="1412"/>
      <c r="L175" s="1412"/>
      <c r="M175" s="1412"/>
      <c r="N175" s="1412"/>
      <c r="O175" s="192" t="s">
        <v>1658</v>
      </c>
      <c r="P175" s="2263" t="s">
        <v>3705</v>
      </c>
      <c r="Q175" s="816"/>
      <c r="AE175" s="596"/>
      <c r="AF175" s="596"/>
    </row>
    <row r="176" spans="1:32" ht="21.75" customHeight="1">
      <c r="B176" s="168" t="s">
        <v>2254</v>
      </c>
      <c r="C176" s="1412" t="s">
        <v>2847</v>
      </c>
      <c r="D176" s="1412"/>
      <c r="E176" s="1412"/>
      <c r="F176" s="1412"/>
      <c r="G176" s="1412"/>
      <c r="H176" s="1412"/>
      <c r="I176" s="1412"/>
      <c r="J176" s="1412"/>
      <c r="K176" s="1412"/>
      <c r="L176" s="1412"/>
      <c r="M176" s="1412"/>
      <c r="N176" s="1412"/>
      <c r="O176" s="192" t="s">
        <v>2254</v>
      </c>
      <c r="P176" s="2208" t="s">
        <v>3705</v>
      </c>
      <c r="Q176" s="796"/>
    </row>
    <row r="177" spans="1:31" ht="12" customHeight="1">
      <c r="B177" s="168" t="s">
        <v>1858</v>
      </c>
      <c r="C177" s="173" t="s">
        <v>2536</v>
      </c>
      <c r="D177" s="173"/>
      <c r="E177" s="173"/>
      <c r="F177" s="173"/>
      <c r="G177" s="173"/>
      <c r="H177" s="173"/>
      <c r="I177" s="173"/>
      <c r="J177" s="173"/>
      <c r="K177" s="173"/>
      <c r="L177" s="173"/>
      <c r="M177" s="173"/>
      <c r="O177" s="192" t="s">
        <v>1858</v>
      </c>
      <c r="P177" s="2208" t="s">
        <v>3705</v>
      </c>
      <c r="Q177" s="796"/>
    </row>
    <row r="178" spans="1:31" ht="12" customHeight="1">
      <c r="B178" s="167" t="s">
        <v>1996</v>
      </c>
      <c r="D178" s="167"/>
      <c r="E178" s="167"/>
      <c r="F178" s="167"/>
      <c r="G178" s="167"/>
      <c r="H178" s="48"/>
      <c r="I178" s="1170"/>
      <c r="J178" s="1170"/>
      <c r="K178" s="1170"/>
      <c r="L178" s="1155"/>
      <c r="M178" s="1155"/>
      <c r="N178" s="1155"/>
      <c r="O178" s="1155"/>
      <c r="P178" s="1155"/>
      <c r="Q178" s="60"/>
    </row>
    <row r="179" spans="1:31" ht="11.45" customHeight="1">
      <c r="A179" s="2212" t="s">
        <v>3798</v>
      </c>
      <c r="B179" s="2213"/>
      <c r="C179" s="2213"/>
      <c r="D179" s="2213"/>
      <c r="E179" s="2213"/>
      <c r="F179" s="2213"/>
      <c r="G179" s="2213"/>
      <c r="H179" s="2213"/>
      <c r="I179" s="2213"/>
      <c r="J179" s="2213"/>
      <c r="K179" s="2213"/>
      <c r="L179" s="2213"/>
      <c r="M179" s="2213"/>
      <c r="N179" s="2213"/>
      <c r="O179" s="2213"/>
      <c r="P179" s="2213"/>
      <c r="Q179" s="2214"/>
      <c r="U179" s="162"/>
      <c r="V179" s="162"/>
      <c r="W179" s="162"/>
      <c r="X179" s="162"/>
      <c r="Y179" s="162"/>
      <c r="Z179" s="162"/>
      <c r="AA179" s="162"/>
      <c r="AB179" s="162"/>
      <c r="AC179" s="162"/>
      <c r="AD179" s="162"/>
      <c r="AE179" s="595"/>
    </row>
    <row r="180" spans="1:31" ht="12" customHeight="1">
      <c r="B180" s="163" t="s">
        <v>1997</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3.9" customHeight="1">
      <c r="A183" s="1163">
        <v>11</v>
      </c>
      <c r="B183" s="1163" t="s">
        <v>2858</v>
      </c>
      <c r="C183" s="1163"/>
      <c r="D183" s="1162"/>
      <c r="E183" s="174"/>
      <c r="F183" s="174"/>
      <c r="G183" s="1162"/>
      <c r="J183" s="555"/>
      <c r="K183" s="644"/>
      <c r="L183" s="644"/>
      <c r="M183" s="644"/>
      <c r="N183" s="644"/>
      <c r="O183" s="157" t="s">
        <v>1998</v>
      </c>
      <c r="P183" s="1422"/>
      <c r="Q183" s="1423"/>
    </row>
    <row r="184" spans="1:31" ht="12" customHeight="1">
      <c r="A184" s="165"/>
      <c r="B184" s="55" t="s">
        <v>2119</v>
      </c>
      <c r="C184" s="1412" t="s">
        <v>100</v>
      </c>
      <c r="D184" s="1412"/>
      <c r="E184" s="1412"/>
      <c r="F184" s="1412"/>
      <c r="G184" s="1412"/>
      <c r="H184" s="78" t="s">
        <v>1860</v>
      </c>
      <c r="I184" s="62" t="s">
        <v>159</v>
      </c>
      <c r="K184" s="2236" t="s">
        <v>3800</v>
      </c>
      <c r="L184" s="2237"/>
      <c r="M184" s="2237"/>
      <c r="N184" s="2238"/>
      <c r="O184" s="78" t="s">
        <v>1860</v>
      </c>
      <c r="P184" s="2208" t="s">
        <v>3705</v>
      </c>
      <c r="Q184" s="796"/>
    </row>
    <row r="185" spans="1:31" ht="12" customHeight="1">
      <c r="A185" s="165"/>
      <c r="B185" s="1170"/>
      <c r="C185" s="121"/>
      <c r="D185" s="121"/>
      <c r="E185" s="121"/>
      <c r="F185" s="121"/>
      <c r="H185" s="78" t="s">
        <v>1861</v>
      </c>
      <c r="I185" s="62" t="s">
        <v>1705</v>
      </c>
      <c r="K185" s="2242" t="s">
        <v>3801</v>
      </c>
      <c r="L185" s="2243"/>
      <c r="M185" s="2243"/>
      <c r="N185" s="2244"/>
      <c r="O185" s="78" t="s">
        <v>1861</v>
      </c>
      <c r="P185" s="2208" t="s">
        <v>3705</v>
      </c>
      <c r="Q185" s="796"/>
    </row>
    <row r="186" spans="1:31" ht="12" customHeight="1">
      <c r="B186" s="167" t="s">
        <v>1996</v>
      </c>
      <c r="D186" s="167"/>
      <c r="E186" s="167"/>
      <c r="F186" s="167"/>
      <c r="G186" s="167"/>
      <c r="J186" s="1170"/>
      <c r="K186" s="1170"/>
      <c r="L186" s="1155"/>
      <c r="M186" s="1155"/>
      <c r="N186" s="1155"/>
      <c r="O186" s="1155"/>
      <c r="P186" s="1155"/>
      <c r="Q186" s="60"/>
    </row>
    <row r="187" spans="1:31" ht="11.45" customHeight="1">
      <c r="A187" s="2212" t="s">
        <v>3802</v>
      </c>
      <c r="B187" s="2213"/>
      <c r="C187" s="2213"/>
      <c r="D187" s="2213"/>
      <c r="E187" s="2213"/>
      <c r="F187" s="2213"/>
      <c r="G187" s="2213"/>
      <c r="H187" s="2213"/>
      <c r="I187" s="2213"/>
      <c r="J187" s="2213"/>
      <c r="K187" s="2213"/>
      <c r="L187" s="2213"/>
      <c r="M187" s="2213"/>
      <c r="N187" s="2213"/>
      <c r="O187" s="2213"/>
      <c r="P187" s="2213"/>
      <c r="Q187" s="2214"/>
      <c r="U187" s="162"/>
      <c r="V187" s="162"/>
      <c r="W187" s="162"/>
      <c r="X187" s="162"/>
      <c r="Y187" s="162"/>
      <c r="Z187" s="162"/>
      <c r="AA187" s="162"/>
      <c r="AB187" s="162"/>
      <c r="AC187" s="162"/>
      <c r="AD187" s="162"/>
      <c r="AE187" s="595"/>
    </row>
    <row r="188" spans="1:31" ht="12" customHeight="1">
      <c r="B188" s="163" t="s">
        <v>1997</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1500000000000004" customHeight="1">
      <c r="B190" s="1170"/>
      <c r="C190" s="1162"/>
      <c r="D190" s="1162"/>
      <c r="E190" s="1162"/>
      <c r="F190" s="1162"/>
      <c r="G190" s="1162"/>
      <c r="H190" s="1162"/>
      <c r="I190" s="1162"/>
      <c r="J190" s="1162"/>
      <c r="K190" s="1162"/>
      <c r="L190" s="1162"/>
      <c r="M190" s="1162"/>
      <c r="Q190" s="60"/>
    </row>
    <row r="191" spans="1:31" ht="13.9" customHeight="1">
      <c r="A191" s="1163">
        <v>12</v>
      </c>
      <c r="B191" s="5" t="s">
        <v>2859</v>
      </c>
      <c r="C191" s="5"/>
      <c r="D191" s="101"/>
      <c r="E191" s="101"/>
      <c r="F191" s="101"/>
      <c r="G191" s="1162"/>
      <c r="H191" s="1162"/>
      <c r="I191" s="1162"/>
      <c r="J191" s="1162"/>
      <c r="K191" s="1162"/>
      <c r="L191" s="1162"/>
      <c r="M191" s="1162"/>
      <c r="O191" s="157" t="s">
        <v>1998</v>
      </c>
      <c r="P191" s="1422"/>
      <c r="Q191" s="1423"/>
    </row>
    <row r="192" spans="1:31" ht="4.1500000000000004" customHeight="1"/>
    <row r="193" spans="1:31" ht="11.45" customHeight="1">
      <c r="B193" s="168" t="s">
        <v>2119</v>
      </c>
      <c r="C193" s="722" t="s">
        <v>1860</v>
      </c>
      <c r="D193" s="497" t="s">
        <v>548</v>
      </c>
      <c r="E193" s="497"/>
      <c r="F193" s="497"/>
      <c r="G193" s="497"/>
      <c r="H193" s="497"/>
      <c r="I193" s="497"/>
      <c r="J193" s="497"/>
      <c r="K193" s="497"/>
      <c r="L193" s="497"/>
      <c r="M193" s="497"/>
      <c r="N193" s="497"/>
      <c r="O193" s="192" t="s">
        <v>1589</v>
      </c>
      <c r="P193" s="2208" t="s">
        <v>3702</v>
      </c>
      <c r="Q193" s="796"/>
    </row>
    <row r="194" spans="1:31" ht="11.45" customHeight="1">
      <c r="B194" s="168"/>
      <c r="C194" s="722" t="s">
        <v>1861</v>
      </c>
      <c r="D194" s="497" t="s">
        <v>1566</v>
      </c>
      <c r="E194" s="497"/>
      <c r="F194" s="497"/>
      <c r="G194" s="497"/>
      <c r="H194" s="497"/>
      <c r="I194" s="497"/>
      <c r="J194" s="497"/>
      <c r="K194" s="497"/>
      <c r="L194" s="497"/>
      <c r="M194" s="497"/>
      <c r="N194" s="497"/>
      <c r="O194" s="192" t="s">
        <v>1861</v>
      </c>
      <c r="P194" s="2208"/>
      <c r="Q194" s="796"/>
    </row>
    <row r="195" spans="1:31" ht="11.45" customHeight="1">
      <c r="A195" s="165"/>
      <c r="B195" s="168" t="s">
        <v>2122</v>
      </c>
      <c r="C195" s="1412" t="s">
        <v>1979</v>
      </c>
      <c r="D195" s="1412"/>
      <c r="E195" s="1412"/>
      <c r="F195" s="1412"/>
      <c r="G195" s="1412"/>
      <c r="H195" s="78" t="s">
        <v>1860</v>
      </c>
      <c r="I195" s="62" t="s">
        <v>677</v>
      </c>
      <c r="K195" s="2236" t="s">
        <v>3799</v>
      </c>
      <c r="L195" s="2237"/>
      <c r="M195" s="2237"/>
      <c r="N195" s="2238"/>
      <c r="O195" s="78" t="s">
        <v>1543</v>
      </c>
      <c r="P195" s="2208" t="s">
        <v>3705</v>
      </c>
      <c r="Q195" s="796"/>
    </row>
    <row r="196" spans="1:31" ht="11.45" customHeight="1">
      <c r="A196" s="165"/>
      <c r="B196" s="1167"/>
      <c r="C196" s="1412"/>
      <c r="D196" s="1412"/>
      <c r="E196" s="1412"/>
      <c r="F196" s="1412"/>
      <c r="G196" s="1412"/>
      <c r="H196" s="78" t="s">
        <v>1861</v>
      </c>
      <c r="I196" s="62" t="s">
        <v>119</v>
      </c>
      <c r="K196" s="2242" t="s">
        <v>3799</v>
      </c>
      <c r="L196" s="2243"/>
      <c r="M196" s="2243"/>
      <c r="N196" s="2244"/>
      <c r="O196" s="78" t="s">
        <v>1861</v>
      </c>
      <c r="P196" s="2208" t="s">
        <v>3705</v>
      </c>
      <c r="Q196" s="796"/>
    </row>
    <row r="197" spans="1:31" ht="11.25" customHeight="1">
      <c r="B197" s="167" t="s">
        <v>1996</v>
      </c>
      <c r="D197" s="167"/>
      <c r="E197" s="167"/>
      <c r="F197" s="167"/>
      <c r="G197" s="167"/>
      <c r="H197" s="48"/>
      <c r="I197" s="1170"/>
      <c r="J197" s="1170"/>
      <c r="K197" s="1170"/>
      <c r="L197" s="1155"/>
      <c r="M197" s="1155"/>
      <c r="N197" s="1155"/>
      <c r="O197" s="1155"/>
      <c r="P197" s="1155"/>
      <c r="Q197" s="60"/>
    </row>
    <row r="198" spans="1:31" ht="11.45" customHeight="1">
      <c r="A198" s="2212" t="s">
        <v>3803</v>
      </c>
      <c r="B198" s="2213"/>
      <c r="C198" s="2213"/>
      <c r="D198" s="2213"/>
      <c r="E198" s="2213"/>
      <c r="F198" s="2213"/>
      <c r="G198" s="2213"/>
      <c r="H198" s="2213"/>
      <c r="I198" s="2213"/>
      <c r="J198" s="2213"/>
      <c r="K198" s="2213"/>
      <c r="L198" s="2213"/>
      <c r="M198" s="2213"/>
      <c r="N198" s="2213"/>
      <c r="O198" s="2213"/>
      <c r="P198" s="2213"/>
      <c r="Q198" s="2214"/>
      <c r="U198" s="162"/>
      <c r="V198" s="162"/>
      <c r="W198" s="162"/>
      <c r="X198" s="162"/>
      <c r="Y198" s="162"/>
      <c r="Z198" s="162"/>
      <c r="AA198" s="162"/>
      <c r="AB198" s="162"/>
      <c r="AC198" s="162"/>
      <c r="AD198" s="162"/>
      <c r="AE198" s="595"/>
    </row>
    <row r="199" spans="1:31" ht="11.25" customHeight="1">
      <c r="B199" s="163" t="s">
        <v>1997</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3.9" customHeight="1">
      <c r="A202" s="1163">
        <v>13</v>
      </c>
      <c r="B202" s="5" t="s">
        <v>2860</v>
      </c>
      <c r="C202" s="5"/>
      <c r="D202" s="101"/>
      <c r="E202" s="101"/>
      <c r="F202" s="101"/>
      <c r="G202" s="101"/>
      <c r="H202" s="1162"/>
      <c r="I202" s="1162"/>
      <c r="J202" s="1162"/>
      <c r="K202" s="1162"/>
      <c r="L202" s="1162"/>
      <c r="M202" s="1162"/>
      <c r="O202" s="157" t="s">
        <v>1998</v>
      </c>
      <c r="P202" s="1422"/>
      <c r="Q202" s="1423"/>
    </row>
    <row r="203" spans="1:31" ht="10.9" customHeight="1">
      <c r="B203" s="171" t="s">
        <v>150</v>
      </c>
    </row>
    <row r="204" spans="1:31" ht="11.45" customHeight="1">
      <c r="B204" s="55" t="s">
        <v>2119</v>
      </c>
      <c r="C204" s="62" t="s">
        <v>3268</v>
      </c>
      <c r="D204" s="50"/>
      <c r="E204" s="62"/>
      <c r="F204" s="62"/>
      <c r="G204" s="62"/>
      <c r="H204" s="62"/>
      <c r="I204" s="50"/>
      <c r="J204" s="50"/>
      <c r="K204" s="50"/>
      <c r="L204" s="173"/>
      <c r="M204" s="173"/>
      <c r="O204" s="192" t="s">
        <v>2119</v>
      </c>
      <c r="P204" s="2208" t="s">
        <v>3705</v>
      </c>
      <c r="Q204" s="796"/>
    </row>
    <row r="205" spans="1:31" ht="11.45" customHeight="1">
      <c r="B205" s="55"/>
      <c r="C205" s="62"/>
      <c r="D205" s="44" t="s">
        <v>3580</v>
      </c>
      <c r="E205" s="62"/>
      <c r="F205" s="62"/>
      <c r="G205" s="2279">
        <v>41421</v>
      </c>
      <c r="H205" s="62"/>
      <c r="I205" s="44" t="s">
        <v>3581</v>
      </c>
      <c r="J205" s="50"/>
      <c r="K205" s="2279">
        <v>41793</v>
      </c>
      <c r="M205" s="173"/>
    </row>
    <row r="206" spans="1:31" ht="11.45" customHeight="1">
      <c r="B206" s="55"/>
      <c r="C206" s="62"/>
      <c r="D206" s="65" t="s">
        <v>3582</v>
      </c>
      <c r="E206" s="62"/>
      <c r="F206" s="62"/>
      <c r="G206" s="2258" t="s">
        <v>3804</v>
      </c>
      <c r="H206" s="2259"/>
      <c r="I206" s="2259"/>
      <c r="J206" s="2259"/>
      <c r="K206" s="2274"/>
      <c r="L206" s="62"/>
      <c r="M206" s="62"/>
      <c r="N206" s="62"/>
      <c r="O206" s="62"/>
      <c r="P206" s="62"/>
    </row>
    <row r="207" spans="1:31" ht="11.45" customHeight="1">
      <c r="B207" s="55" t="s">
        <v>2122</v>
      </c>
      <c r="C207" s="62" t="s">
        <v>3269</v>
      </c>
      <c r="D207" s="62"/>
      <c r="E207" s="62"/>
      <c r="F207" s="62"/>
      <c r="G207" s="62"/>
      <c r="H207" s="62"/>
      <c r="I207" s="50"/>
      <c r="J207" s="50"/>
      <c r="K207" s="50"/>
      <c r="L207" s="166"/>
      <c r="M207" s="166"/>
      <c r="O207" s="192" t="s">
        <v>2122</v>
      </c>
      <c r="P207" s="2208" t="s">
        <v>3705</v>
      </c>
      <c r="Q207" s="796"/>
    </row>
    <row r="208" spans="1:31" ht="11.45" customHeight="1">
      <c r="B208" s="55" t="s">
        <v>800</v>
      </c>
      <c r="C208" s="62" t="s">
        <v>3270</v>
      </c>
      <c r="D208" s="62"/>
      <c r="E208" s="62"/>
      <c r="F208" s="62"/>
      <c r="G208" s="62"/>
      <c r="H208" s="62"/>
      <c r="I208" s="50"/>
      <c r="J208" s="50"/>
      <c r="K208" s="50"/>
      <c r="L208" s="166"/>
      <c r="M208" s="166"/>
      <c r="O208" s="192" t="s">
        <v>800</v>
      </c>
      <c r="P208" s="2208" t="s">
        <v>3705</v>
      </c>
      <c r="Q208" s="796"/>
    </row>
    <row r="209" spans="1:32" s="175" customFormat="1" ht="11.45" customHeight="1">
      <c r="B209" s="55" t="s">
        <v>2254</v>
      </c>
      <c r="C209" s="62" t="s">
        <v>3577</v>
      </c>
      <c r="D209" s="62"/>
      <c r="E209" s="62"/>
      <c r="F209" s="62"/>
      <c r="G209" s="62"/>
      <c r="H209" s="62"/>
      <c r="I209" s="111"/>
      <c r="J209" s="111"/>
      <c r="K209" s="111"/>
      <c r="L209" s="173"/>
      <c r="M209" s="173"/>
      <c r="N209" s="43"/>
      <c r="O209" s="593" t="s">
        <v>2254</v>
      </c>
      <c r="P209" s="2208" t="s">
        <v>3705</v>
      </c>
      <c r="Q209" s="796"/>
      <c r="AE209" s="597"/>
      <c r="AF209" s="597"/>
    </row>
    <row r="210" spans="1:32" s="175" customFormat="1" ht="11.45" customHeight="1">
      <c r="B210" s="55" t="s">
        <v>1858</v>
      </c>
      <c r="C210" s="62" t="s">
        <v>151</v>
      </c>
      <c r="D210" s="62"/>
      <c r="E210" s="62"/>
      <c r="F210" s="62"/>
      <c r="G210" s="62"/>
      <c r="H210" s="62"/>
      <c r="I210" s="111"/>
      <c r="J210" s="111"/>
      <c r="K210" s="111"/>
      <c r="L210" s="111"/>
      <c r="M210" s="111"/>
      <c r="O210" s="593" t="s">
        <v>1858</v>
      </c>
      <c r="P210" s="2208" t="s">
        <v>3705</v>
      </c>
      <c r="Q210" s="796"/>
      <c r="AE210" s="597"/>
      <c r="AF210" s="597"/>
    </row>
    <row r="211" spans="1:32" ht="11.25" customHeight="1">
      <c r="B211" s="167" t="s">
        <v>1996</v>
      </c>
      <c r="D211" s="167"/>
      <c r="E211" s="167"/>
      <c r="F211" s="167"/>
      <c r="G211" s="167"/>
      <c r="H211" s="48"/>
      <c r="I211" s="1170"/>
      <c r="J211" s="1170"/>
      <c r="K211" s="1170"/>
      <c r="L211" s="1155"/>
      <c r="M211" s="1155"/>
      <c r="N211" s="1155"/>
      <c r="O211" s="1155"/>
      <c r="P211" s="1155"/>
      <c r="Q211" s="60"/>
    </row>
    <row r="212" spans="1:32" ht="13.15" customHeight="1">
      <c r="A212" s="2212" t="s">
        <v>3805</v>
      </c>
      <c r="B212" s="2213"/>
      <c r="C212" s="2213"/>
      <c r="D212" s="2213"/>
      <c r="E212" s="2213"/>
      <c r="F212" s="2213"/>
      <c r="G212" s="2213"/>
      <c r="H212" s="2213"/>
      <c r="I212" s="2213"/>
      <c r="J212" s="2213"/>
      <c r="K212" s="2213"/>
      <c r="L212" s="2213"/>
      <c r="M212" s="2213"/>
      <c r="N212" s="2213"/>
      <c r="O212" s="2213"/>
      <c r="P212" s="2213"/>
      <c r="Q212" s="2214"/>
      <c r="R212" s="562" t="s">
        <v>1333</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1997</v>
      </c>
      <c r="C214" s="164"/>
      <c r="D214" s="1162"/>
      <c r="E214" s="1162"/>
      <c r="F214" s="1162"/>
      <c r="G214" s="1162"/>
      <c r="H214" s="1162"/>
      <c r="I214" s="1162"/>
      <c r="J214" s="1162"/>
      <c r="K214" s="1162"/>
      <c r="L214" s="1162"/>
      <c r="M214" s="1162"/>
      <c r="N214" s="1162"/>
      <c r="O214" s="1162"/>
      <c r="P214" s="1162"/>
      <c r="Q214" s="1162"/>
    </row>
    <row r="215" spans="1:32" ht="13.1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3.9" customHeight="1">
      <c r="A217" s="1163">
        <v>14</v>
      </c>
      <c r="B217" s="1163" t="s">
        <v>2861</v>
      </c>
      <c r="C217" s="132"/>
      <c r="D217" s="1162"/>
      <c r="E217" s="1162"/>
      <c r="F217" s="1162"/>
      <c r="G217" s="1162"/>
      <c r="H217" s="1162"/>
      <c r="I217" s="1162"/>
      <c r="J217" s="1162"/>
      <c r="K217" s="1162"/>
      <c r="L217" s="1162"/>
      <c r="M217" s="1162"/>
      <c r="O217" s="157" t="s">
        <v>1998</v>
      </c>
      <c r="P217" s="1422"/>
      <c r="Q217" s="1423"/>
    </row>
    <row r="218" spans="1:32" s="31" customFormat="1" ht="11.45" customHeight="1">
      <c r="B218" s="171" t="s">
        <v>1265</v>
      </c>
      <c r="N218" s="143"/>
      <c r="P218" s="2208" t="s">
        <v>3702</v>
      </c>
      <c r="Q218" s="796"/>
      <c r="AE218" s="137"/>
      <c r="AF218" s="137"/>
    </row>
    <row r="219" spans="1:32" ht="12" customHeight="1">
      <c r="B219" s="55" t="s">
        <v>2119</v>
      </c>
      <c r="C219" s="101" t="s">
        <v>1469</v>
      </c>
      <c r="D219" s="50"/>
      <c r="E219" s="50"/>
      <c r="F219" s="50"/>
      <c r="G219" s="50"/>
      <c r="H219" s="50"/>
      <c r="I219" s="50"/>
      <c r="J219" s="50"/>
      <c r="K219" s="50"/>
      <c r="L219" s="50"/>
      <c r="M219" s="50"/>
    </row>
    <row r="220" spans="1:32" ht="11.45" customHeight="1">
      <c r="B220" s="55"/>
      <c r="C220" s="78" t="s">
        <v>1860</v>
      </c>
      <c r="D220" s="62" t="s">
        <v>2066</v>
      </c>
      <c r="E220" s="62"/>
      <c r="F220" s="62"/>
      <c r="G220" s="62"/>
      <c r="H220" s="62"/>
      <c r="I220" s="50"/>
      <c r="K220" s="78" t="s">
        <v>1589</v>
      </c>
      <c r="L220" s="2258" t="s">
        <v>566</v>
      </c>
      <c r="M220" s="2274"/>
      <c r="Q220" s="796"/>
    </row>
    <row r="221" spans="1:32" ht="11.45" customHeight="1">
      <c r="B221" s="55"/>
      <c r="C221" s="78" t="s">
        <v>1861</v>
      </c>
      <c r="D221" s="38" t="s">
        <v>2979</v>
      </c>
      <c r="E221" s="38"/>
      <c r="F221" s="38"/>
      <c r="G221" s="38"/>
      <c r="H221" s="38"/>
      <c r="I221" s="50"/>
      <c r="K221" s="78" t="s">
        <v>1590</v>
      </c>
      <c r="L221" s="2280" t="s">
        <v>3806</v>
      </c>
      <c r="M221" s="2281"/>
      <c r="N221" s="2282" t="s">
        <v>2980</v>
      </c>
      <c r="O221" s="2283"/>
      <c r="P221" s="2284"/>
      <c r="Q221" s="796"/>
    </row>
    <row r="222" spans="1:32" ht="11.45" customHeight="1">
      <c r="B222" s="55"/>
      <c r="C222" s="78" t="s">
        <v>1862</v>
      </c>
      <c r="D222" s="38" t="s">
        <v>592</v>
      </c>
      <c r="E222" s="38"/>
      <c r="F222" s="38"/>
      <c r="G222" s="38"/>
      <c r="H222" s="38"/>
      <c r="I222" s="50"/>
      <c r="K222" s="78" t="s">
        <v>1591</v>
      </c>
      <c r="L222" s="2258" t="s">
        <v>3807</v>
      </c>
      <c r="M222" s="2259"/>
      <c r="N222" s="2285"/>
      <c r="Q222" s="796"/>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2681</v>
      </c>
      <c r="D224" s="62"/>
      <c r="E224" s="62"/>
      <c r="F224" s="62"/>
      <c r="G224" s="62"/>
      <c r="H224" s="62"/>
      <c r="I224" s="62"/>
      <c r="J224" s="62"/>
      <c r="K224" s="50"/>
      <c r="L224" s="50"/>
      <c r="M224" s="50"/>
      <c r="N224" s="50"/>
      <c r="O224" s="593" t="s">
        <v>2122</v>
      </c>
      <c r="P224" s="2208" t="s">
        <v>3770</v>
      </c>
      <c r="Q224" s="796"/>
    </row>
    <row r="225" spans="1:32" ht="10.9" customHeight="1">
      <c r="B225" s="55"/>
      <c r="C225" s="62" t="s">
        <v>2680</v>
      </c>
      <c r="D225" s="62"/>
      <c r="E225" s="62"/>
      <c r="F225" s="62"/>
      <c r="G225" s="62"/>
      <c r="H225" s="62"/>
      <c r="I225" s="62"/>
      <c r="J225" s="62"/>
      <c r="K225" s="50"/>
      <c r="L225" s="50"/>
      <c r="M225" s="50"/>
      <c r="N225" s="50"/>
      <c r="O225" s="50"/>
      <c r="P225" s="1486" t="s">
        <v>3</v>
      </c>
      <c r="Q225" s="1486"/>
    </row>
    <row r="226" spans="1:32" ht="10.9" customHeight="1">
      <c r="B226" s="55"/>
      <c r="D226" s="62" t="s">
        <v>2</v>
      </c>
      <c r="E226" s="62"/>
      <c r="F226" s="62"/>
      <c r="G226" s="62"/>
      <c r="I226" s="359" t="s">
        <v>826</v>
      </c>
      <c r="J226" s="360" t="s">
        <v>827</v>
      </c>
      <c r="L226" s="62" t="s">
        <v>2981</v>
      </c>
      <c r="M226" s="50"/>
      <c r="N226" s="50"/>
      <c r="O226" s="359"/>
      <c r="P226" s="361" t="s">
        <v>826</v>
      </c>
      <c r="Q226" s="360" t="s">
        <v>827</v>
      </c>
    </row>
    <row r="227" spans="1:32" s="51" customFormat="1" ht="11.45" customHeight="1">
      <c r="A227" s="111"/>
      <c r="B227" s="61"/>
      <c r="C227" s="78" t="s">
        <v>1860</v>
      </c>
      <c r="D227" s="2286" t="s">
        <v>2244</v>
      </c>
      <c r="E227" s="2287"/>
      <c r="F227" s="2287"/>
      <c r="G227" s="2287"/>
      <c r="H227" s="2288"/>
      <c r="I227" s="819"/>
      <c r="J227" s="820"/>
      <c r="K227" s="78" t="s">
        <v>1862</v>
      </c>
      <c r="L227" s="2286" t="s">
        <v>3809</v>
      </c>
      <c r="M227" s="2287"/>
      <c r="N227" s="2287"/>
      <c r="O227" s="2288"/>
      <c r="P227" s="799"/>
      <c r="Q227" s="820"/>
      <c r="AE227" s="64"/>
      <c r="AF227" s="64"/>
    </row>
    <row r="228" spans="1:32" s="51" customFormat="1" ht="11.45" customHeight="1">
      <c r="A228" s="111"/>
      <c r="B228" s="61"/>
      <c r="C228" s="78" t="s">
        <v>1861</v>
      </c>
      <c r="D228" s="2289" t="s">
        <v>3808</v>
      </c>
      <c r="E228" s="2290"/>
      <c r="F228" s="2290"/>
      <c r="G228" s="2290"/>
      <c r="H228" s="2291"/>
      <c r="I228" s="821"/>
      <c r="J228" s="822"/>
      <c r="K228" s="78" t="s">
        <v>2520</v>
      </c>
      <c r="L228" s="2289" t="s">
        <v>3810</v>
      </c>
      <c r="M228" s="2290"/>
      <c r="N228" s="2290"/>
      <c r="O228" s="2291"/>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1" t="s">
        <v>1470</v>
      </c>
      <c r="D230" s="62"/>
      <c r="E230" s="62"/>
      <c r="F230" s="62"/>
      <c r="G230" s="62"/>
      <c r="H230" s="62"/>
      <c r="I230" s="62"/>
      <c r="J230" s="62"/>
      <c r="K230" s="50"/>
      <c r="L230" s="62"/>
      <c r="M230" s="62"/>
      <c r="O230" s="593" t="s">
        <v>800</v>
      </c>
      <c r="P230" s="2208" t="s">
        <v>3770</v>
      </c>
      <c r="Q230" s="796"/>
    </row>
    <row r="231" spans="1:32" ht="11.45" customHeight="1">
      <c r="B231" s="55"/>
      <c r="C231" s="78" t="s">
        <v>1860</v>
      </c>
      <c r="D231" s="62" t="s">
        <v>160</v>
      </c>
      <c r="E231" s="62"/>
      <c r="F231" s="62"/>
      <c r="G231" s="62"/>
      <c r="H231" s="62"/>
      <c r="I231" s="50"/>
      <c r="J231" s="40"/>
      <c r="K231" s="50"/>
      <c r="L231" s="40"/>
      <c r="M231" s="40"/>
      <c r="O231" s="78" t="s">
        <v>1860</v>
      </c>
      <c r="P231" s="2208" t="s">
        <v>3705</v>
      </c>
      <c r="Q231" s="796"/>
    </row>
    <row r="232" spans="1:32" ht="11.45" customHeight="1">
      <c r="C232" s="78" t="s">
        <v>1861</v>
      </c>
      <c r="D232" s="38" t="s">
        <v>3271</v>
      </c>
      <c r="E232" s="38"/>
      <c r="F232" s="38"/>
      <c r="G232" s="38"/>
      <c r="H232" s="38"/>
      <c r="I232" s="50"/>
      <c r="J232" s="40"/>
      <c r="K232" s="50"/>
      <c r="L232" s="40"/>
      <c r="M232" s="40"/>
      <c r="O232" s="78" t="s">
        <v>1861</v>
      </c>
      <c r="P232" s="2208" t="s">
        <v>3705</v>
      </c>
      <c r="Q232" s="796"/>
    </row>
    <row r="233" spans="1:32" ht="11.45" customHeight="1">
      <c r="C233" s="78" t="s">
        <v>1862</v>
      </c>
      <c r="D233" s="38" t="s">
        <v>3272</v>
      </c>
      <c r="E233" s="38"/>
      <c r="F233" s="38"/>
      <c r="G233" s="38"/>
      <c r="H233" s="38"/>
      <c r="I233" s="50"/>
      <c r="J233" s="40"/>
      <c r="K233" s="50"/>
      <c r="L233" s="40"/>
      <c r="M233" s="40"/>
      <c r="O233" s="78" t="s">
        <v>1862</v>
      </c>
      <c r="P233" s="2208" t="s">
        <v>3705</v>
      </c>
      <c r="Q233" s="796"/>
    </row>
    <row r="234" spans="1:32" ht="11.45" customHeight="1">
      <c r="B234" s="55"/>
      <c r="C234" s="78" t="s">
        <v>2520</v>
      </c>
      <c r="D234" s="38" t="s">
        <v>3273</v>
      </c>
      <c r="E234" s="38"/>
      <c r="F234" s="38"/>
      <c r="G234" s="38"/>
      <c r="H234" s="38"/>
      <c r="I234" s="50"/>
      <c r="J234" s="40"/>
      <c r="K234" s="50"/>
      <c r="L234" s="40"/>
      <c r="M234" s="40"/>
      <c r="O234" s="78" t="s">
        <v>2520</v>
      </c>
      <c r="P234" s="2208" t="s">
        <v>3705</v>
      </c>
      <c r="Q234" s="796"/>
    </row>
    <row r="235" spans="1:32" ht="11.45" customHeight="1">
      <c r="B235" s="55"/>
      <c r="C235" s="78" t="s">
        <v>1658</v>
      </c>
      <c r="D235" s="38" t="s">
        <v>3274</v>
      </c>
      <c r="E235" s="38"/>
      <c r="F235" s="38"/>
      <c r="G235" s="38"/>
      <c r="H235" s="38"/>
      <c r="I235" s="50"/>
      <c r="J235" s="40"/>
      <c r="K235" s="50"/>
      <c r="L235" s="40"/>
      <c r="M235" s="40"/>
      <c r="O235" s="78" t="s">
        <v>1658</v>
      </c>
      <c r="P235" s="2208" t="s">
        <v>3705</v>
      </c>
      <c r="Q235" s="796"/>
    </row>
    <row r="236" spans="1:32" ht="11.45" customHeight="1">
      <c r="B236" s="55"/>
      <c r="C236" s="593" t="s">
        <v>1659</v>
      </c>
      <c r="D236" s="62" t="s">
        <v>828</v>
      </c>
      <c r="E236" s="62"/>
      <c r="F236" s="62"/>
      <c r="G236" s="62"/>
      <c r="H236" s="62"/>
      <c r="I236" s="50"/>
      <c r="J236" s="40"/>
      <c r="K236" s="50"/>
      <c r="L236" s="40"/>
      <c r="M236" s="40"/>
      <c r="O236" s="593" t="s">
        <v>3257</v>
      </c>
      <c r="P236" s="2208" t="s">
        <v>3705</v>
      </c>
      <c r="Q236" s="796"/>
    </row>
    <row r="237" spans="1:32" ht="11.45" customHeight="1">
      <c r="B237" s="55"/>
      <c r="C237" s="78"/>
      <c r="D237" s="62" t="s">
        <v>1592</v>
      </c>
      <c r="E237" s="62"/>
      <c r="F237" s="62"/>
      <c r="G237" s="62"/>
      <c r="H237" s="62"/>
      <c r="I237" s="50"/>
      <c r="J237" s="40"/>
      <c r="K237" s="50"/>
      <c r="L237" s="40"/>
      <c r="M237" s="40"/>
      <c r="O237" s="593" t="s">
        <v>3258</v>
      </c>
      <c r="P237" s="2208" t="s">
        <v>3702</v>
      </c>
      <c r="Q237" s="796"/>
    </row>
    <row r="238" spans="1:32" ht="3" customHeight="1">
      <c r="B238" s="55"/>
      <c r="C238" s="78"/>
      <c r="D238" s="62"/>
      <c r="E238" s="62"/>
      <c r="F238" s="62"/>
      <c r="G238" s="62"/>
      <c r="H238" s="62"/>
      <c r="I238" s="50"/>
      <c r="J238" s="40"/>
      <c r="K238" s="50"/>
      <c r="L238" s="40"/>
      <c r="M238" s="40"/>
    </row>
    <row r="239" spans="1:32" ht="12" customHeight="1">
      <c r="B239" s="55" t="s">
        <v>2254</v>
      </c>
      <c r="C239" s="261" t="s">
        <v>2895</v>
      </c>
      <c r="D239" s="62"/>
      <c r="E239" s="62"/>
      <c r="F239" s="62"/>
      <c r="G239" s="62"/>
      <c r="H239" s="62"/>
      <c r="I239" s="62"/>
      <c r="J239" s="62"/>
      <c r="K239" s="50"/>
      <c r="L239" s="62"/>
      <c r="M239" s="62"/>
      <c r="O239" s="593" t="s">
        <v>2254</v>
      </c>
      <c r="P239" s="2208"/>
      <c r="Q239" s="796"/>
    </row>
    <row r="240" spans="1:32" ht="11.45" customHeight="1">
      <c r="B240" s="55"/>
      <c r="C240" s="78" t="s">
        <v>1860</v>
      </c>
      <c r="D240" s="47" t="s">
        <v>1334</v>
      </c>
      <c r="E240" s="50"/>
      <c r="F240" s="50"/>
      <c r="G240" s="47"/>
      <c r="H240" s="38"/>
      <c r="I240" s="50"/>
      <c r="J240" s="38"/>
      <c r="K240" s="50"/>
      <c r="L240" s="38"/>
      <c r="M240" s="38"/>
      <c r="O240" s="78" t="s">
        <v>1860</v>
      </c>
      <c r="P240" s="2208"/>
      <c r="Q240" s="796"/>
    </row>
    <row r="241" spans="1:32" ht="11.45" customHeight="1">
      <c r="B241" s="55"/>
      <c r="C241" s="78" t="s">
        <v>1861</v>
      </c>
      <c r="D241" s="47" t="s">
        <v>152</v>
      </c>
      <c r="E241" s="50"/>
      <c r="F241" s="50"/>
      <c r="G241" s="38"/>
      <c r="H241" s="38"/>
      <c r="I241" s="50"/>
      <c r="J241" s="38"/>
      <c r="K241" s="50"/>
      <c r="L241" s="38"/>
      <c r="M241" s="38"/>
      <c r="O241" s="78" t="s">
        <v>1861</v>
      </c>
      <c r="P241" s="2208"/>
      <c r="Q241" s="796"/>
    </row>
    <row r="242" spans="1:32" ht="11.45" customHeight="1">
      <c r="B242" s="55"/>
      <c r="C242" s="78" t="s">
        <v>1862</v>
      </c>
      <c r="D242" s="38" t="s">
        <v>1754</v>
      </c>
      <c r="E242" s="50"/>
      <c r="F242" s="50"/>
      <c r="G242" s="38"/>
      <c r="H242" s="38"/>
      <c r="I242" s="50"/>
      <c r="J242" s="38"/>
      <c r="K242" s="50"/>
      <c r="L242" s="38"/>
      <c r="M242" s="38"/>
      <c r="O242" s="78" t="s">
        <v>2526</v>
      </c>
      <c r="P242" s="2208"/>
      <c r="Q242" s="796"/>
    </row>
    <row r="243" spans="1:32" ht="11.45" customHeight="1">
      <c r="B243" s="44"/>
      <c r="C243" s="50"/>
      <c r="D243" s="38" t="s">
        <v>1372</v>
      </c>
      <c r="E243" s="50"/>
      <c r="F243" s="50"/>
      <c r="G243" s="38"/>
      <c r="H243" s="38"/>
      <c r="I243" s="50"/>
      <c r="J243" s="38"/>
      <c r="K243" s="50"/>
      <c r="L243" s="38"/>
      <c r="M243" s="38"/>
      <c r="O243" s="78" t="s">
        <v>2527</v>
      </c>
      <c r="P243" s="2208"/>
      <c r="Q243" s="796"/>
    </row>
    <row r="244" spans="1:32" ht="11.25" customHeight="1">
      <c r="B244" s="167" t="s">
        <v>1996</v>
      </c>
      <c r="D244" s="167"/>
      <c r="E244" s="167"/>
      <c r="F244" s="167"/>
      <c r="G244" s="167"/>
      <c r="H244" s="48"/>
      <c r="I244" s="1170"/>
      <c r="J244" s="1170"/>
      <c r="K244" s="1170"/>
      <c r="L244" s="1155"/>
      <c r="M244" s="1155"/>
      <c r="N244" s="1155"/>
      <c r="O244" s="1155"/>
      <c r="P244" s="1155"/>
      <c r="Q244" s="60"/>
    </row>
    <row r="245" spans="1:32" ht="11.45" customHeight="1">
      <c r="A245" s="2212" t="s">
        <v>3811</v>
      </c>
      <c r="B245" s="2213"/>
      <c r="C245" s="2213"/>
      <c r="D245" s="2213"/>
      <c r="E245" s="2213"/>
      <c r="F245" s="2213"/>
      <c r="G245" s="2213"/>
      <c r="H245" s="2213"/>
      <c r="I245" s="2213"/>
      <c r="J245" s="2213"/>
      <c r="K245" s="2213"/>
      <c r="L245" s="2213"/>
      <c r="M245" s="2213"/>
      <c r="N245" s="2213"/>
      <c r="O245" s="2213"/>
      <c r="P245" s="2213"/>
      <c r="Q245" s="2214"/>
      <c r="R245" s="561" t="s">
        <v>1333</v>
      </c>
      <c r="S245" s="562"/>
      <c r="U245" s="162"/>
      <c r="V245" s="162"/>
      <c r="W245" s="162"/>
      <c r="X245" s="162"/>
      <c r="Y245" s="162"/>
      <c r="Z245" s="162"/>
      <c r="AA245" s="162"/>
      <c r="AB245" s="162"/>
      <c r="AC245" s="162"/>
      <c r="AD245" s="162"/>
      <c r="AE245" s="595"/>
    </row>
    <row r="246" spans="1:32" ht="11.25" customHeight="1">
      <c r="B246" s="163" t="s">
        <v>1997</v>
      </c>
      <c r="C246" s="164"/>
      <c r="D246" s="1162"/>
      <c r="E246" s="1162"/>
      <c r="F246" s="1162"/>
      <c r="G246" s="1162"/>
      <c r="H246" s="1162"/>
      <c r="I246" s="1162"/>
      <c r="J246" s="1162"/>
      <c r="K246" s="1162"/>
      <c r="L246" s="1162"/>
      <c r="M246" s="1162"/>
      <c r="N246" s="1162"/>
      <c r="O246" s="1162"/>
      <c r="P246" s="1162"/>
      <c r="Q246" s="1162"/>
    </row>
    <row r="247" spans="1:32" ht="13.1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3.9" customHeight="1">
      <c r="A249" s="1163">
        <v>15</v>
      </c>
      <c r="B249" s="5" t="s">
        <v>2862</v>
      </c>
      <c r="C249" s="5"/>
      <c r="D249" s="101"/>
      <c r="E249" s="101"/>
      <c r="F249" s="101"/>
      <c r="G249" s="101"/>
      <c r="H249" s="1162"/>
      <c r="I249" s="1162"/>
      <c r="J249" s="1162"/>
      <c r="K249" s="1162"/>
      <c r="L249" s="1162"/>
      <c r="M249" s="1162"/>
      <c r="O249" s="157" t="s">
        <v>1998</v>
      </c>
      <c r="P249" s="1422"/>
      <c r="Q249" s="1423"/>
    </row>
    <row r="250" spans="1:32" ht="4.9000000000000004" customHeight="1"/>
    <row r="251" spans="1:32" ht="11.45" customHeight="1">
      <c r="B251" s="55" t="s">
        <v>2119</v>
      </c>
      <c r="C251" s="62" t="s">
        <v>1349</v>
      </c>
      <c r="D251" s="50"/>
      <c r="E251" s="62"/>
      <c r="F251" s="62"/>
      <c r="G251" s="62"/>
      <c r="H251" s="62"/>
      <c r="I251" s="50"/>
      <c r="J251" s="50"/>
      <c r="K251" s="50"/>
      <c r="L251" s="593" t="s">
        <v>2119</v>
      </c>
      <c r="M251" s="2264" t="s">
        <v>3812</v>
      </c>
      <c r="N251" s="2265"/>
      <c r="O251" s="2266"/>
      <c r="P251" s="1448" t="s">
        <v>1896</v>
      </c>
      <c r="Q251" s="1449"/>
    </row>
    <row r="252" spans="1:32" ht="11.45" customHeight="1">
      <c r="B252" s="55" t="s">
        <v>2122</v>
      </c>
      <c r="C252" s="62" t="s">
        <v>3275</v>
      </c>
      <c r="D252" s="62"/>
      <c r="E252" s="62"/>
      <c r="F252" s="62"/>
      <c r="G252" s="62"/>
      <c r="H252" s="62"/>
      <c r="I252" s="50"/>
      <c r="J252" s="50"/>
      <c r="K252" s="50"/>
      <c r="L252" s="593" t="s">
        <v>2122</v>
      </c>
      <c r="M252" s="2292">
        <v>41779</v>
      </c>
      <c r="N252" s="2293"/>
      <c r="O252" s="2294"/>
      <c r="P252" s="1436"/>
      <c r="Q252" s="1437"/>
    </row>
    <row r="253" spans="1:32" s="175" customFormat="1" ht="11.45" customHeight="1">
      <c r="B253" s="55" t="s">
        <v>800</v>
      </c>
      <c r="C253" s="62" t="s">
        <v>2080</v>
      </c>
      <c r="D253" s="62"/>
      <c r="E253" s="62"/>
      <c r="F253" s="62"/>
      <c r="G253" s="62"/>
      <c r="H253" s="62"/>
      <c r="I253" s="111"/>
      <c r="J253" s="111"/>
      <c r="K253" s="111"/>
      <c r="L253" s="593" t="s">
        <v>800</v>
      </c>
      <c r="M253" s="2264" t="s">
        <v>3813</v>
      </c>
      <c r="N253" s="2265"/>
      <c r="O253" s="2266"/>
      <c r="P253" s="1448"/>
      <c r="Q253" s="1449"/>
      <c r="AE253" s="597"/>
      <c r="AF253" s="597"/>
    </row>
    <row r="254" spans="1:32" s="175" customFormat="1" ht="11.45" customHeight="1">
      <c r="B254" s="55" t="s">
        <v>2254</v>
      </c>
      <c r="C254" s="62" t="s">
        <v>2726</v>
      </c>
      <c r="D254" s="62"/>
      <c r="E254" s="62"/>
      <c r="F254" s="62"/>
      <c r="G254" s="62"/>
      <c r="H254" s="62"/>
      <c r="I254" s="111"/>
      <c r="J254" s="111"/>
      <c r="K254" s="111"/>
      <c r="L254" s="111"/>
      <c r="M254" s="111"/>
      <c r="O254" s="593" t="s">
        <v>2254</v>
      </c>
      <c r="P254" s="2208" t="s">
        <v>3705</v>
      </c>
      <c r="Q254" s="796"/>
      <c r="AE254" s="597"/>
      <c r="AF254" s="597"/>
    </row>
    <row r="255" spans="1:32" s="175" customFormat="1" ht="22.15" customHeight="1">
      <c r="B255" s="168" t="s">
        <v>1858</v>
      </c>
      <c r="C255" s="1412" t="s">
        <v>3016</v>
      </c>
      <c r="D255" s="1412"/>
      <c r="E255" s="1412"/>
      <c r="F255" s="1412"/>
      <c r="G255" s="1412"/>
      <c r="H255" s="1412"/>
      <c r="I255" s="1412"/>
      <c r="J255" s="1412"/>
      <c r="K255" s="1412"/>
      <c r="L255" s="1412"/>
      <c r="M255" s="1412"/>
      <c r="N255" s="1412"/>
      <c r="O255" s="192" t="s">
        <v>1858</v>
      </c>
      <c r="P255" s="2208" t="s">
        <v>3770</v>
      </c>
      <c r="Q255" s="796"/>
      <c r="AE255" s="597"/>
      <c r="AF255" s="597"/>
    </row>
    <row r="256" spans="1:32" ht="11.25" customHeight="1">
      <c r="B256" s="167" t="s">
        <v>1996</v>
      </c>
      <c r="D256" s="167"/>
      <c r="E256" s="167"/>
      <c r="F256" s="167"/>
      <c r="G256" s="167"/>
      <c r="H256" s="48"/>
      <c r="I256" s="1170"/>
      <c r="J256" s="1170"/>
      <c r="K256" s="1170"/>
      <c r="L256" s="1155"/>
      <c r="M256" s="1155"/>
      <c r="N256" s="1155"/>
      <c r="O256" s="1155"/>
      <c r="P256" s="1155"/>
      <c r="Q256" s="60"/>
    </row>
    <row r="257" spans="1:32" ht="13.15" customHeight="1">
      <c r="A257" s="2212" t="s">
        <v>3814</v>
      </c>
      <c r="B257" s="2213"/>
      <c r="C257" s="2213"/>
      <c r="D257" s="2213"/>
      <c r="E257" s="2213"/>
      <c r="F257" s="2213"/>
      <c r="G257" s="2213"/>
      <c r="H257" s="2213"/>
      <c r="I257" s="2213"/>
      <c r="J257" s="2213"/>
      <c r="K257" s="2213"/>
      <c r="L257" s="2213"/>
      <c r="M257" s="2213"/>
      <c r="N257" s="2213"/>
      <c r="O257" s="2213"/>
      <c r="P257" s="2213"/>
      <c r="Q257" s="2214"/>
      <c r="R257" s="561" t="s">
        <v>1333</v>
      </c>
      <c r="S257" s="562"/>
      <c r="U257" s="162"/>
      <c r="V257" s="162"/>
      <c r="W257" s="162"/>
      <c r="X257" s="162"/>
      <c r="Y257" s="162"/>
      <c r="Z257" s="162"/>
      <c r="AA257" s="162"/>
      <c r="AB257" s="162"/>
      <c r="AC257" s="162"/>
      <c r="AD257" s="162"/>
      <c r="AE257" s="595"/>
    </row>
    <row r="258" spans="1:32" ht="10.9" customHeight="1">
      <c r="B258" s="163" t="s">
        <v>1997</v>
      </c>
      <c r="C258" s="164"/>
      <c r="D258" s="1162"/>
      <c r="E258" s="1162"/>
      <c r="F258" s="1162"/>
      <c r="G258" s="1162"/>
      <c r="H258" s="1162"/>
      <c r="I258" s="1162"/>
      <c r="J258" s="1162"/>
      <c r="K258" s="1162"/>
      <c r="L258" s="1162"/>
      <c r="M258" s="1162"/>
      <c r="N258" s="1162"/>
      <c r="O258" s="1162"/>
      <c r="P258" s="1162"/>
      <c r="Q258" s="1162"/>
    </row>
    <row r="259" spans="1:32" ht="13.1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3.9" customHeight="1">
      <c r="A261" s="1163">
        <v>16</v>
      </c>
      <c r="B261" s="5" t="s">
        <v>2863</v>
      </c>
      <c r="C261" s="5"/>
      <c r="D261" s="101"/>
      <c r="E261" s="101"/>
      <c r="F261" s="101"/>
      <c r="G261" s="101"/>
      <c r="H261" s="1162"/>
      <c r="I261" s="1162"/>
      <c r="J261" s="1162"/>
      <c r="K261" s="1162"/>
      <c r="L261" s="1162"/>
      <c r="M261" s="1162"/>
      <c r="O261" s="157" t="s">
        <v>1998</v>
      </c>
      <c r="P261" s="1422"/>
      <c r="Q261" s="1423"/>
    </row>
    <row r="262" spans="1:32" ht="3" customHeight="1"/>
    <row r="263" spans="1:32" s="508" customFormat="1" ht="23.25" customHeight="1">
      <c r="B263" s="168" t="s">
        <v>2119</v>
      </c>
      <c r="C263" s="1412" t="s">
        <v>3276</v>
      </c>
      <c r="D263" s="1412"/>
      <c r="E263" s="1412"/>
      <c r="F263" s="1412"/>
      <c r="G263" s="1412"/>
      <c r="H263" s="1412"/>
      <c r="I263" s="1412"/>
      <c r="J263" s="1412"/>
      <c r="K263" s="1412"/>
      <c r="L263" s="1412"/>
      <c r="M263" s="1412"/>
      <c r="N263" s="1412"/>
      <c r="O263" s="192" t="s">
        <v>2119</v>
      </c>
      <c r="P263" s="2263" t="s">
        <v>3705</v>
      </c>
      <c r="Q263" s="816"/>
      <c r="AE263" s="598"/>
      <c r="AF263" s="598"/>
    </row>
    <row r="264" spans="1:32" s="175" customFormat="1" ht="11.45" customHeight="1">
      <c r="B264" s="55" t="s">
        <v>2122</v>
      </c>
      <c r="C264" s="62" t="s">
        <v>1496</v>
      </c>
      <c r="D264" s="62"/>
      <c r="E264" s="62"/>
      <c r="F264" s="62"/>
      <c r="G264" s="62"/>
      <c r="H264" s="62"/>
      <c r="I264" s="62"/>
      <c r="J264" s="62"/>
      <c r="K264" s="62"/>
      <c r="L264" s="62"/>
      <c r="M264" s="62"/>
      <c r="O264" s="593" t="s">
        <v>2122</v>
      </c>
      <c r="P264" s="2208" t="s">
        <v>3705</v>
      </c>
      <c r="Q264" s="796"/>
      <c r="AE264" s="597"/>
      <c r="AF264" s="597"/>
    </row>
    <row r="265" spans="1:32" ht="11.25" customHeight="1">
      <c r="B265" s="167" t="s">
        <v>1996</v>
      </c>
      <c r="D265" s="167"/>
      <c r="E265" s="167"/>
      <c r="F265" s="167"/>
      <c r="G265" s="167"/>
      <c r="H265" s="48"/>
      <c r="I265" s="1170"/>
      <c r="J265" s="1170"/>
      <c r="K265" s="1170"/>
      <c r="L265" s="1155"/>
      <c r="M265" s="1155"/>
      <c r="N265" s="1155"/>
      <c r="O265" s="1155"/>
      <c r="P265" s="1155"/>
      <c r="Q265" s="60"/>
    </row>
    <row r="266" spans="1:32" ht="13.15" customHeight="1">
      <c r="A266" s="2212" t="s">
        <v>3815</v>
      </c>
      <c r="B266" s="2213"/>
      <c r="C266" s="2213"/>
      <c r="D266" s="2213"/>
      <c r="E266" s="2213"/>
      <c r="F266" s="2213"/>
      <c r="G266" s="2213"/>
      <c r="H266" s="2213"/>
      <c r="I266" s="2213"/>
      <c r="J266" s="2213"/>
      <c r="K266" s="2213"/>
      <c r="L266" s="2213"/>
      <c r="M266" s="2213"/>
      <c r="N266" s="2213"/>
      <c r="O266" s="2213"/>
      <c r="P266" s="2213"/>
      <c r="Q266" s="2214"/>
      <c r="R266" s="561" t="s">
        <v>1333</v>
      </c>
      <c r="S266" s="562"/>
      <c r="U266" s="162"/>
      <c r="V266" s="162"/>
      <c r="W266" s="162"/>
      <c r="X266" s="162"/>
      <c r="Y266" s="162"/>
      <c r="Z266" s="162"/>
      <c r="AA266" s="162"/>
      <c r="AB266" s="162"/>
      <c r="AC266" s="162"/>
      <c r="AD266" s="162"/>
      <c r="AE266" s="595"/>
    </row>
    <row r="267" spans="1:32" ht="11.25" customHeight="1">
      <c r="B267" s="163" t="s">
        <v>1997</v>
      </c>
      <c r="C267" s="164"/>
      <c r="D267" s="1162"/>
      <c r="E267" s="1162"/>
      <c r="F267" s="1162"/>
      <c r="G267" s="1162"/>
      <c r="H267" s="1162"/>
      <c r="I267" s="1162"/>
      <c r="J267" s="1162"/>
      <c r="K267" s="1162"/>
      <c r="L267" s="1162"/>
      <c r="M267" s="1162"/>
      <c r="N267" s="1162"/>
      <c r="O267" s="1162"/>
      <c r="P267" s="1162"/>
      <c r="Q267" s="1162"/>
    </row>
    <row r="268" spans="1:32" ht="13.1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3.9" customHeight="1">
      <c r="A270" s="1163">
        <v>17</v>
      </c>
      <c r="B270" s="1163" t="s">
        <v>2864</v>
      </c>
      <c r="C270" s="1163"/>
      <c r="D270" s="1162"/>
      <c r="E270" s="1162"/>
      <c r="F270" s="1162"/>
      <c r="G270" s="1162"/>
      <c r="H270" s="1162"/>
      <c r="I270" s="1162"/>
      <c r="J270" s="1162"/>
      <c r="K270" s="1162"/>
      <c r="L270" s="1162"/>
      <c r="M270" s="1162"/>
      <c r="O270" s="157" t="s">
        <v>1998</v>
      </c>
      <c r="P270" s="1422"/>
      <c r="Q270" s="1423"/>
    </row>
    <row r="271" spans="1:32" ht="3" customHeight="1"/>
    <row r="272" spans="1:32" s="508" customFormat="1" ht="24" customHeight="1">
      <c r="B272" s="168" t="s">
        <v>2119</v>
      </c>
      <c r="C272" s="1434" t="s">
        <v>3277</v>
      </c>
      <c r="D272" s="1301"/>
      <c r="E272" s="1301"/>
      <c r="F272" s="1301"/>
      <c r="G272" s="1301"/>
      <c r="H272" s="1301"/>
      <c r="I272" s="1301"/>
      <c r="J272" s="1301"/>
      <c r="K272" s="1301"/>
      <c r="L272" s="1301"/>
      <c r="M272" s="1301"/>
      <c r="N272" s="1301"/>
      <c r="O272" s="192" t="s">
        <v>2119</v>
      </c>
      <c r="P272" s="2208" t="s">
        <v>3770</v>
      </c>
      <c r="Q272" s="796"/>
      <c r="AE272" s="598"/>
      <c r="AF272" s="598"/>
    </row>
    <row r="273" spans="1:32" s="508" customFormat="1" ht="24" customHeight="1">
      <c r="B273" s="168" t="s">
        <v>2122</v>
      </c>
      <c r="C273" s="1434" t="s">
        <v>3278</v>
      </c>
      <c r="D273" s="1301"/>
      <c r="E273" s="1301"/>
      <c r="F273" s="1301"/>
      <c r="G273" s="1301"/>
      <c r="H273" s="1301"/>
      <c r="I273" s="1301"/>
      <c r="J273" s="1301"/>
      <c r="K273" s="1301"/>
      <c r="L273" s="1301"/>
      <c r="M273" s="1301"/>
      <c r="N273" s="1301"/>
      <c r="O273" s="192" t="s">
        <v>2122</v>
      </c>
      <c r="P273" s="2208" t="s">
        <v>3770</v>
      </c>
      <c r="Q273" s="796"/>
      <c r="AE273" s="598"/>
      <c r="AF273" s="598"/>
    </row>
    <row r="274" spans="1:32" ht="11.25" customHeight="1">
      <c r="B274" s="167" t="s">
        <v>1996</v>
      </c>
      <c r="D274" s="167"/>
      <c r="E274" s="167"/>
      <c r="F274" s="167"/>
      <c r="G274" s="167"/>
      <c r="H274" s="48"/>
      <c r="I274" s="1170"/>
      <c r="J274" s="1170"/>
      <c r="K274" s="1170"/>
      <c r="L274" s="1155"/>
      <c r="M274" s="1155"/>
      <c r="N274" s="1155"/>
      <c r="O274" s="1155"/>
      <c r="P274" s="1155"/>
      <c r="Q274" s="60"/>
    </row>
    <row r="275" spans="1:32" ht="13.15" customHeight="1">
      <c r="A275" s="2212" t="s">
        <v>3816</v>
      </c>
      <c r="B275" s="2213"/>
      <c r="C275" s="2213"/>
      <c r="D275" s="2213"/>
      <c r="E275" s="2213"/>
      <c r="F275" s="2213"/>
      <c r="G275" s="2213"/>
      <c r="H275" s="2213"/>
      <c r="I275" s="2213"/>
      <c r="J275" s="2213"/>
      <c r="K275" s="2213"/>
      <c r="L275" s="2213"/>
      <c r="M275" s="2213"/>
      <c r="N275" s="2213"/>
      <c r="O275" s="2213"/>
      <c r="P275" s="2213"/>
      <c r="Q275" s="2214"/>
      <c r="R275" s="561" t="s">
        <v>1333</v>
      </c>
      <c r="S275" s="562"/>
      <c r="U275" s="162"/>
      <c r="V275" s="162"/>
      <c r="W275" s="162"/>
      <c r="X275" s="162"/>
      <c r="Y275" s="162"/>
      <c r="Z275" s="162"/>
      <c r="AA275" s="162"/>
      <c r="AB275" s="162"/>
      <c r="AC275" s="162"/>
      <c r="AD275" s="162"/>
      <c r="AE275" s="595"/>
    </row>
    <row r="276" spans="1:32" ht="11.25" customHeight="1">
      <c r="B276" s="163" t="s">
        <v>1997</v>
      </c>
      <c r="C276" s="164"/>
      <c r="D276" s="1162"/>
      <c r="E276" s="1162"/>
      <c r="F276" s="1162"/>
      <c r="G276" s="1162"/>
      <c r="H276" s="1162"/>
      <c r="I276" s="1162"/>
      <c r="J276" s="1162"/>
      <c r="K276" s="1162"/>
      <c r="L276" s="1162"/>
      <c r="M276" s="1162"/>
      <c r="N276" s="1162"/>
      <c r="O276" s="1162"/>
      <c r="P276" s="1162"/>
      <c r="Q276" s="1162"/>
    </row>
    <row r="277" spans="1:32" ht="13.1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3.9" customHeight="1">
      <c r="A279" s="1163">
        <v>18</v>
      </c>
      <c r="B279" s="1163" t="s">
        <v>2865</v>
      </c>
      <c r="C279" s="176"/>
      <c r="D279" s="1165"/>
      <c r="E279" s="1162"/>
      <c r="F279" s="1162"/>
      <c r="G279" s="1162"/>
      <c r="H279" s="1162"/>
      <c r="I279" s="1162"/>
      <c r="J279" s="1162"/>
      <c r="K279" s="1162"/>
      <c r="L279" s="1162"/>
      <c r="M279" s="1162"/>
      <c r="O279" s="157" t="s">
        <v>1998</v>
      </c>
      <c r="P279" s="1422"/>
      <c r="Q279" s="1423"/>
    </row>
    <row r="280" spans="1:32" s="175" customFormat="1" ht="46.5" customHeight="1">
      <c r="B280" s="168" t="s">
        <v>2119</v>
      </c>
      <c r="C280" s="177" t="s">
        <v>1860</v>
      </c>
      <c r="D280" s="1434" t="s">
        <v>3279</v>
      </c>
      <c r="E280" s="1434"/>
      <c r="F280" s="1434"/>
      <c r="G280" s="1434"/>
      <c r="H280" s="1434"/>
      <c r="I280" s="1434"/>
      <c r="J280" s="1434"/>
      <c r="K280" s="1434"/>
      <c r="L280" s="1434"/>
      <c r="M280" s="1434"/>
      <c r="N280" s="1434"/>
      <c r="O280" s="192" t="s">
        <v>2984</v>
      </c>
      <c r="P280" s="2263" t="s">
        <v>3705</v>
      </c>
      <c r="Q280" s="796"/>
      <c r="AE280" s="597"/>
      <c r="AF280" s="597"/>
    </row>
    <row r="281" spans="1:32" s="111" customFormat="1" ht="12.75" customHeight="1">
      <c r="B281" s="55"/>
      <c r="C281" s="78" t="s">
        <v>1861</v>
      </c>
      <c r="D281" s="1443" t="s">
        <v>3280</v>
      </c>
      <c r="E281" s="1443"/>
      <c r="F281" s="1443"/>
      <c r="G281" s="1443"/>
      <c r="H281" s="1443"/>
      <c r="I281" s="1443"/>
      <c r="J281" s="1443"/>
      <c r="K281" s="1443"/>
      <c r="L281" s="1443"/>
      <c r="M281" s="1443"/>
      <c r="N281" s="1443"/>
      <c r="O281" s="78" t="s">
        <v>1861</v>
      </c>
      <c r="P281" s="2208" t="s">
        <v>3705</v>
      </c>
      <c r="Q281" s="796"/>
      <c r="AE281" s="599"/>
      <c r="AF281" s="599"/>
    </row>
    <row r="282" spans="1:32" s="111" customFormat="1" ht="22.5" customHeight="1">
      <c r="B282" s="168" t="s">
        <v>2122</v>
      </c>
      <c r="C282" s="177" t="s">
        <v>1860</v>
      </c>
      <c r="D282" s="1434" t="s">
        <v>2982</v>
      </c>
      <c r="E282" s="1434"/>
      <c r="F282" s="1434"/>
      <c r="G282" s="1434"/>
      <c r="H282" s="1434"/>
      <c r="I282" s="1434"/>
      <c r="J282" s="1434"/>
      <c r="K282" s="1434"/>
      <c r="L282" s="1434"/>
      <c r="M282" s="1434"/>
      <c r="N282" s="1434"/>
      <c r="O282" s="593" t="s">
        <v>2985</v>
      </c>
      <c r="P282" s="2208" t="s">
        <v>3705</v>
      </c>
      <c r="Q282" s="796"/>
      <c r="AE282" s="599"/>
      <c r="AF282" s="599"/>
    </row>
    <row r="283" spans="1:32" s="111" customFormat="1" ht="12" customHeight="1">
      <c r="B283" s="168"/>
      <c r="C283" s="177" t="s">
        <v>1861</v>
      </c>
      <c r="D283" s="1434" t="s">
        <v>2983</v>
      </c>
      <c r="E283" s="1434"/>
      <c r="F283" s="1434"/>
      <c r="G283" s="1434"/>
      <c r="H283" s="1434"/>
      <c r="I283" s="1434"/>
      <c r="J283" s="1434"/>
      <c r="K283" s="1434"/>
      <c r="L283" s="1434"/>
      <c r="M283" s="1434"/>
      <c r="N283" s="1434"/>
      <c r="O283" s="593" t="s">
        <v>3281</v>
      </c>
      <c r="P283" s="2262" t="s">
        <v>3705</v>
      </c>
      <c r="Q283" s="797"/>
      <c r="AE283" s="599"/>
      <c r="AF283" s="599"/>
    </row>
    <row r="284" spans="1:32" s="508" customFormat="1" ht="36" customHeight="1">
      <c r="B284" s="168" t="s">
        <v>800</v>
      </c>
      <c r="C284" s="177"/>
      <c r="D284" s="1434" t="s">
        <v>3396</v>
      </c>
      <c r="E284" s="1434"/>
      <c r="F284" s="1434"/>
      <c r="G284" s="1434"/>
      <c r="H284" s="1434"/>
      <c r="I284" s="1434"/>
      <c r="J284" s="1434"/>
      <c r="K284" s="1434"/>
      <c r="L284" s="1434"/>
      <c r="M284" s="1434"/>
      <c r="N284" s="1434"/>
      <c r="O284" s="192" t="s">
        <v>800</v>
      </c>
      <c r="P284" s="2263" t="s">
        <v>3705</v>
      </c>
      <c r="Q284" s="816"/>
      <c r="AE284" s="598"/>
      <c r="AF284" s="598"/>
    </row>
    <row r="285" spans="1:32" ht="11.25" customHeight="1">
      <c r="B285" s="167" t="s">
        <v>1996</v>
      </c>
      <c r="D285" s="167"/>
      <c r="E285" s="167"/>
      <c r="F285" s="167"/>
      <c r="G285" s="167"/>
      <c r="H285" s="48"/>
      <c r="I285" s="1170"/>
      <c r="J285" s="1170"/>
      <c r="K285" s="1170"/>
      <c r="L285" s="1155"/>
      <c r="M285" s="1155"/>
      <c r="N285" s="1155"/>
      <c r="O285" s="1155"/>
      <c r="P285" s="1155"/>
      <c r="Q285" s="60"/>
    </row>
    <row r="286" spans="1:32" ht="11.45" customHeight="1">
      <c r="A286" s="2212"/>
      <c r="B286" s="2213"/>
      <c r="C286" s="2213"/>
      <c r="D286" s="2213"/>
      <c r="E286" s="2213"/>
      <c r="F286" s="2213"/>
      <c r="G286" s="2213"/>
      <c r="H286" s="2213"/>
      <c r="I286" s="2213"/>
      <c r="J286" s="2213"/>
      <c r="K286" s="2213"/>
      <c r="L286" s="2213"/>
      <c r="M286" s="2213"/>
      <c r="N286" s="2213"/>
      <c r="O286" s="2213"/>
      <c r="P286" s="2213"/>
      <c r="Q286" s="2214"/>
      <c r="R286" s="561" t="s">
        <v>1333</v>
      </c>
      <c r="S286" s="562"/>
      <c r="U286" s="162"/>
      <c r="V286" s="162"/>
      <c r="W286" s="162"/>
      <c r="X286" s="162"/>
      <c r="Y286" s="162"/>
      <c r="Z286" s="162"/>
      <c r="AA286" s="162"/>
      <c r="AB286" s="162"/>
      <c r="AC286" s="162"/>
      <c r="AD286" s="162"/>
      <c r="AE286" s="595"/>
    </row>
    <row r="287" spans="1:32" ht="11.25" customHeight="1">
      <c r="B287" s="163" t="s">
        <v>1997</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3.9" customHeight="1">
      <c r="A289" s="1163">
        <v>19</v>
      </c>
      <c r="B289" s="11" t="s">
        <v>2866</v>
      </c>
      <c r="C289" s="11"/>
      <c r="D289" s="11"/>
      <c r="E289" s="11"/>
      <c r="F289" s="11"/>
      <c r="G289" s="11"/>
      <c r="H289" s="1162"/>
      <c r="I289" s="1162"/>
      <c r="J289" s="1162"/>
      <c r="K289" s="1162"/>
      <c r="L289" s="1162"/>
      <c r="M289" s="1162"/>
      <c r="O289" s="157" t="s">
        <v>1998</v>
      </c>
      <c r="P289" s="1441"/>
      <c r="Q289" s="1442"/>
    </row>
    <row r="290" spans="1:256 1523:1523" ht="11.45" customHeight="1">
      <c r="B290" s="171" t="s">
        <v>2401</v>
      </c>
      <c r="P290" s="2208" t="s">
        <v>3702</v>
      </c>
      <c r="Q290" s="796"/>
    </row>
    <row r="291" spans="1:256 1523:1523" ht="12" customHeight="1">
      <c r="B291" s="173" t="s">
        <v>2355</v>
      </c>
      <c r="C291" s="173"/>
      <c r="D291" s="173"/>
      <c r="E291" s="173"/>
      <c r="F291" s="173"/>
      <c r="G291" s="173"/>
      <c r="H291" s="173"/>
      <c r="I291" s="173"/>
      <c r="J291" s="173"/>
      <c r="K291" s="173"/>
      <c r="L291" s="173"/>
      <c r="P291" s="2208" t="s">
        <v>3705</v>
      </c>
      <c r="Q291" s="796"/>
    </row>
    <row r="292" spans="1:256 1523:1523" ht="11.45" customHeight="1">
      <c r="B292" s="168" t="s">
        <v>2119</v>
      </c>
      <c r="C292" s="226" t="s">
        <v>484</v>
      </c>
      <c r="D292" s="38"/>
      <c r="E292" s="38"/>
      <c r="F292" s="38"/>
      <c r="G292" s="38"/>
      <c r="H292" s="38"/>
      <c r="I292" s="38"/>
      <c r="J292" s="38"/>
      <c r="K292" s="38"/>
      <c r="L292" s="38"/>
      <c r="M292" s="38"/>
      <c r="N292" s="192"/>
    </row>
    <row r="293" spans="1:256 1523:1523" ht="22.5" customHeight="1">
      <c r="A293" s="170"/>
      <c r="C293" s="1434" t="s">
        <v>3526</v>
      </c>
      <c r="D293" s="1434"/>
      <c r="E293" s="1434"/>
      <c r="F293" s="1434"/>
      <c r="G293" s="1434"/>
      <c r="H293" s="1434"/>
      <c r="I293" s="1434"/>
      <c r="J293" s="1434"/>
      <c r="K293" s="1434"/>
      <c r="L293" s="1434"/>
      <c r="M293" s="1434"/>
      <c r="N293" s="1434"/>
      <c r="O293" s="192" t="s">
        <v>2119</v>
      </c>
      <c r="P293" s="2263" t="s">
        <v>3705</v>
      </c>
      <c r="Q293" s="816"/>
    </row>
    <row r="294" spans="1:256 1523:1523" ht="12.6" customHeight="1">
      <c r="B294" s="168" t="s">
        <v>2122</v>
      </c>
      <c r="C294" s="1427" t="s">
        <v>485</v>
      </c>
      <c r="D294" s="1427"/>
      <c r="E294" s="1427"/>
      <c r="F294" s="1427"/>
      <c r="G294" s="1427"/>
      <c r="H294" s="1427"/>
      <c r="I294" s="1427"/>
      <c r="J294" s="1427"/>
      <c r="K294" s="1427"/>
      <c r="L294" s="1427"/>
      <c r="M294" s="1427"/>
      <c r="O294" s="192" t="s">
        <v>2122</v>
      </c>
      <c r="P294" s="1155"/>
      <c r="Q294" s="60"/>
    </row>
    <row r="295" spans="1:256 1523:1523" ht="23.25" customHeight="1">
      <c r="A295" s="170"/>
      <c r="C295" s="259" t="s">
        <v>1860</v>
      </c>
      <c r="D295" s="260" t="s">
        <v>1198</v>
      </c>
      <c r="E295" s="158"/>
      <c r="F295" s="158"/>
      <c r="G295" s="2295" t="s">
        <v>1540</v>
      </c>
      <c r="H295" s="2296"/>
      <c r="I295" s="2296"/>
      <c r="J295" s="2296"/>
      <c r="K295" s="2296"/>
      <c r="L295" s="2296"/>
      <c r="M295" s="2296"/>
      <c r="N295" s="2297"/>
      <c r="O295" s="263" t="s">
        <v>1860</v>
      </c>
      <c r="P295" s="2263" t="s">
        <v>3705</v>
      </c>
      <c r="Q295" s="816"/>
      <c r="BFO295" s="175" t="s">
        <v>2986</v>
      </c>
    </row>
    <row r="296" spans="1:256 1523:1523" ht="23.25" customHeight="1">
      <c r="A296" s="170"/>
      <c r="C296" s="259" t="s">
        <v>1861</v>
      </c>
      <c r="D296" s="1412" t="s">
        <v>1199</v>
      </c>
      <c r="E296" s="1428"/>
      <c r="F296" s="1429"/>
      <c r="G296" s="2289" t="s">
        <v>2849</v>
      </c>
      <c r="H296" s="2298"/>
      <c r="I296" s="2298"/>
      <c r="J296" s="2298"/>
      <c r="K296" s="2298"/>
      <c r="L296" s="2298"/>
      <c r="M296" s="2298"/>
      <c r="N296" s="2299"/>
      <c r="O296" s="263" t="s">
        <v>1861</v>
      </c>
      <c r="P296" s="2263" t="s">
        <v>3705</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800</v>
      </c>
      <c r="C298" s="1435" t="s">
        <v>2874</v>
      </c>
      <c r="D298" s="1435"/>
      <c r="E298" s="1435"/>
      <c r="F298" s="1435"/>
      <c r="G298" s="1435"/>
      <c r="H298" s="1435"/>
      <c r="I298" s="1435"/>
      <c r="J298" s="1435"/>
      <c r="K298" s="1435"/>
      <c r="L298" s="1435"/>
      <c r="M298" s="1435"/>
      <c r="N298" s="1435"/>
      <c r="O298" s="556" t="s">
        <v>800</v>
      </c>
      <c r="P298" s="1155"/>
      <c r="Q298" s="60"/>
      <c r="AE298" s="596"/>
      <c r="AF298" s="596"/>
    </row>
    <row r="299" spans="1:256 1523:1523" s="158" customFormat="1" ht="11.25" customHeight="1">
      <c r="A299" s="170"/>
      <c r="C299" s="259" t="s">
        <v>1860</v>
      </c>
      <c r="D299" s="2286"/>
      <c r="E299" s="2287"/>
      <c r="F299" s="2287"/>
      <c r="G299" s="2287"/>
      <c r="H299" s="2287"/>
      <c r="I299" s="2287"/>
      <c r="J299" s="2287"/>
      <c r="K299" s="2287"/>
      <c r="L299" s="2287"/>
      <c r="M299" s="2287"/>
      <c r="N299" s="2288"/>
      <c r="O299" s="263" t="s">
        <v>1860</v>
      </c>
      <c r="P299" s="2263" t="s">
        <v>3702</v>
      </c>
      <c r="Q299" s="816"/>
      <c r="AE299" s="596"/>
      <c r="AF299" s="596"/>
    </row>
    <row r="300" spans="1:256 1523:1523" s="158" customFormat="1" ht="11.25" customHeight="1">
      <c r="A300" s="170"/>
      <c r="C300" s="259" t="s">
        <v>1861</v>
      </c>
      <c r="D300" s="2289"/>
      <c r="E300" s="2290"/>
      <c r="F300" s="2290"/>
      <c r="G300" s="2290"/>
      <c r="H300" s="2290"/>
      <c r="I300" s="2290"/>
      <c r="J300" s="2290"/>
      <c r="K300" s="2290"/>
      <c r="L300" s="2290"/>
      <c r="M300" s="2290"/>
      <c r="N300" s="2291"/>
      <c r="O300" s="263" t="s">
        <v>1861</v>
      </c>
      <c r="P300" s="2263" t="s">
        <v>3702</v>
      </c>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1996</v>
      </c>
      <c r="D302" s="167"/>
      <c r="E302" s="167"/>
      <c r="F302" s="167"/>
      <c r="G302" s="167"/>
      <c r="H302" s="48"/>
      <c r="I302" s="1170"/>
      <c r="J302" s="1170"/>
      <c r="K302" s="1170"/>
      <c r="L302" s="1155"/>
      <c r="M302" s="1155"/>
      <c r="N302" s="1155"/>
      <c r="O302" s="1155"/>
      <c r="P302" s="1155"/>
      <c r="Q302" s="60"/>
    </row>
    <row r="303" spans="1:256 1523:1523" ht="11.45" customHeight="1">
      <c r="A303" s="2212" t="s">
        <v>3817</v>
      </c>
      <c r="B303" s="2213"/>
      <c r="C303" s="2213"/>
      <c r="D303" s="2213"/>
      <c r="E303" s="2213"/>
      <c r="F303" s="2213"/>
      <c r="G303" s="2213"/>
      <c r="H303" s="2213"/>
      <c r="I303" s="2213"/>
      <c r="J303" s="2213"/>
      <c r="K303" s="2213"/>
      <c r="L303" s="2213"/>
      <c r="M303" s="2213"/>
      <c r="N303" s="2213"/>
      <c r="O303" s="2213"/>
      <c r="P303" s="2213"/>
      <c r="Q303" s="2214"/>
      <c r="R303" s="594" t="s">
        <v>1333</v>
      </c>
      <c r="S303" s="145"/>
      <c r="U303" s="162"/>
      <c r="V303" s="162"/>
      <c r="W303" s="162"/>
      <c r="X303" s="162"/>
      <c r="Y303" s="162"/>
      <c r="Z303" s="162"/>
      <c r="AA303" s="162"/>
      <c r="AB303" s="162"/>
      <c r="AC303" s="162"/>
      <c r="AD303" s="162"/>
      <c r="AE303" s="595"/>
    </row>
    <row r="304" spans="1:256 1523:1523" ht="11.25" customHeight="1">
      <c r="B304" s="163" t="s">
        <v>1997</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3.9" customHeight="1">
      <c r="A307" s="1163">
        <v>20</v>
      </c>
      <c r="B307" s="1163" t="s">
        <v>3547</v>
      </c>
      <c r="C307" s="1163"/>
      <c r="D307" s="1162"/>
      <c r="E307" s="1162"/>
      <c r="F307" s="1162"/>
      <c r="G307" s="1162"/>
      <c r="H307" s="1162"/>
      <c r="O307" s="157" t="s">
        <v>1998</v>
      </c>
      <c r="P307" s="1422"/>
      <c r="Q307" s="1423"/>
    </row>
    <row r="308" spans="1:31" ht="11.45" customHeight="1">
      <c r="B308" s="65" t="s">
        <v>3548</v>
      </c>
      <c r="P308" s="2208" t="s">
        <v>3705</v>
      </c>
      <c r="Q308" s="796"/>
    </row>
    <row r="309" spans="1:31" ht="11.45" customHeight="1">
      <c r="B309" s="171" t="s">
        <v>2502</v>
      </c>
      <c r="P309" s="2208" t="s">
        <v>3705</v>
      </c>
      <c r="Q309" s="796"/>
    </row>
    <row r="310" spans="1:31" ht="11.45" customHeight="1">
      <c r="B310" s="65" t="s">
        <v>3549</v>
      </c>
      <c r="M310" s="2300" t="s">
        <v>3553</v>
      </c>
      <c r="N310" s="2301"/>
      <c r="O310" s="2302"/>
    </row>
    <row r="311" spans="1:31" ht="11.45" customHeight="1">
      <c r="B311" s="502" t="s">
        <v>2503</v>
      </c>
      <c r="M311" s="1430" t="s">
        <v>3551</v>
      </c>
      <c r="N311" s="1431"/>
      <c r="O311" s="1432"/>
    </row>
    <row r="312" spans="1:31" ht="11.25" customHeight="1">
      <c r="B312" s="167" t="s">
        <v>1996</v>
      </c>
      <c r="D312" s="167"/>
      <c r="E312" s="167"/>
      <c r="F312" s="167"/>
      <c r="G312" s="167"/>
      <c r="H312" s="48"/>
      <c r="I312" s="1170"/>
      <c r="J312" s="1170"/>
      <c r="K312" s="1170"/>
      <c r="L312" s="1155"/>
      <c r="M312" s="1155"/>
      <c r="N312" s="1155"/>
      <c r="O312" s="1155"/>
      <c r="P312" s="1155"/>
      <c r="Q312" s="60"/>
    </row>
    <row r="313" spans="1:31" ht="13.15" customHeight="1">
      <c r="A313" s="2212" t="s">
        <v>3818</v>
      </c>
      <c r="B313" s="2213"/>
      <c r="C313" s="2213"/>
      <c r="D313" s="2213"/>
      <c r="E313" s="2213"/>
      <c r="F313" s="2213"/>
      <c r="G313" s="2213"/>
      <c r="H313" s="2213"/>
      <c r="I313" s="2213"/>
      <c r="J313" s="2213"/>
      <c r="K313" s="2213"/>
      <c r="L313" s="2213"/>
      <c r="M313" s="2213"/>
      <c r="N313" s="2213"/>
      <c r="O313" s="2213"/>
      <c r="P313" s="2213"/>
      <c r="Q313" s="2214"/>
      <c r="R313" s="561" t="s">
        <v>1333</v>
      </c>
      <c r="S313" s="562"/>
      <c r="U313" s="162"/>
      <c r="V313" s="162"/>
      <c r="W313" s="162"/>
      <c r="X313" s="162"/>
      <c r="Y313" s="162"/>
      <c r="Z313" s="162"/>
      <c r="AA313" s="162"/>
      <c r="AB313" s="162"/>
      <c r="AC313" s="162"/>
      <c r="AD313" s="162"/>
      <c r="AE313" s="595"/>
    </row>
    <row r="314" spans="1:31" ht="11.25" customHeight="1">
      <c r="B314" s="163" t="s">
        <v>1997</v>
      </c>
      <c r="C314" s="164"/>
      <c r="D314" s="1162"/>
      <c r="E314" s="1162"/>
      <c r="F314" s="1162"/>
      <c r="G314" s="1162"/>
      <c r="H314" s="1162"/>
      <c r="I314" s="1162"/>
      <c r="J314" s="1162"/>
      <c r="K314" s="1162"/>
      <c r="L314" s="1162"/>
      <c r="M314" s="1162"/>
      <c r="N314" s="1162"/>
      <c r="O314" s="1162"/>
      <c r="P314" s="1162"/>
      <c r="Q314" s="1162"/>
    </row>
    <row r="315" spans="1:31" ht="13.15" customHeight="1">
      <c r="A315" s="1419"/>
      <c r="B315" s="1420"/>
      <c r="C315" s="1420"/>
      <c r="D315" s="1420"/>
      <c r="E315" s="1420"/>
      <c r="F315" s="1420"/>
      <c r="G315" s="1420"/>
      <c r="H315" s="1420"/>
      <c r="I315" s="1420"/>
      <c r="J315" s="1420"/>
      <c r="K315" s="1420"/>
      <c r="L315" s="1420"/>
      <c r="M315" s="1420"/>
      <c r="N315" s="1420"/>
      <c r="O315" s="1420"/>
      <c r="P315" s="1420"/>
      <c r="Q315" s="1421"/>
    </row>
    <row r="316" spans="1:31" ht="4.1500000000000004" customHeight="1">
      <c r="B316" s="1170"/>
      <c r="C316" s="1162"/>
      <c r="D316" s="1162"/>
      <c r="E316" s="1162"/>
      <c r="F316" s="1162"/>
      <c r="G316" s="1162"/>
      <c r="H316" s="1162"/>
      <c r="I316" s="1162"/>
      <c r="J316" s="1162"/>
      <c r="K316" s="1162"/>
      <c r="L316" s="1162"/>
      <c r="M316" s="1162"/>
      <c r="Q316" s="60"/>
    </row>
    <row r="317" spans="1:31" ht="13.9" customHeight="1">
      <c r="A317" s="1163">
        <v>21</v>
      </c>
      <c r="B317" s="5" t="s">
        <v>2867</v>
      </c>
      <c r="C317" s="5"/>
      <c r="D317" s="101"/>
      <c r="E317" s="1162"/>
      <c r="F317" s="1162"/>
      <c r="G317" s="1162"/>
      <c r="H317" s="1162"/>
      <c r="I317" s="1162"/>
      <c r="J317" s="1162"/>
      <c r="K317" s="1162"/>
      <c r="L317" s="1162"/>
      <c r="M317" s="1162"/>
      <c r="O317" s="157" t="s">
        <v>1998</v>
      </c>
      <c r="P317" s="1422"/>
      <c r="Q317" s="1423"/>
    </row>
    <row r="318" spans="1:31" ht="22.15" customHeight="1">
      <c r="B318" s="168" t="s">
        <v>2119</v>
      </c>
      <c r="C318" s="1412" t="s">
        <v>3550</v>
      </c>
      <c r="D318" s="1412"/>
      <c r="E318" s="1412"/>
      <c r="F318" s="1412"/>
      <c r="G318" s="1412"/>
      <c r="H318" s="1412"/>
      <c r="I318" s="1412"/>
      <c r="J318" s="1412"/>
      <c r="K318" s="1412"/>
      <c r="L318" s="1412"/>
      <c r="M318" s="1412"/>
      <c r="N318" s="1412"/>
      <c r="O318" s="192" t="s">
        <v>2119</v>
      </c>
      <c r="P318" s="2208" t="s">
        <v>3705</v>
      </c>
      <c r="Q318" s="796"/>
    </row>
    <row r="319" spans="1:31" ht="12" customHeight="1">
      <c r="B319" s="168" t="s">
        <v>2122</v>
      </c>
      <c r="C319" s="1412" t="s">
        <v>3587</v>
      </c>
      <c r="D319" s="1412"/>
      <c r="E319" s="1412"/>
      <c r="F319" s="1412"/>
      <c r="G319" s="1412"/>
      <c r="H319" s="1412"/>
      <c r="I319" s="1412"/>
      <c r="J319" s="1412"/>
      <c r="K319" s="1412"/>
      <c r="L319" s="1412"/>
      <c r="M319" s="1412"/>
      <c r="N319" s="1412"/>
      <c r="O319" s="192" t="s">
        <v>2122</v>
      </c>
      <c r="P319" s="2208" t="s">
        <v>3705</v>
      </c>
      <c r="Q319" s="796"/>
    </row>
    <row r="320" spans="1:31" ht="12" customHeight="1">
      <c r="B320" s="168" t="s">
        <v>800</v>
      </c>
      <c r="C320" s="173" t="s">
        <v>3282</v>
      </c>
      <c r="D320" s="173"/>
      <c r="E320" s="173"/>
      <c r="F320" s="173"/>
      <c r="G320" s="173"/>
      <c r="H320" s="173"/>
      <c r="I320" s="173"/>
      <c r="J320" s="173"/>
      <c r="K320" s="173"/>
      <c r="L320" s="173"/>
      <c r="M320" s="173"/>
      <c r="O320" s="192" t="s">
        <v>800</v>
      </c>
      <c r="P320" s="2208" t="s">
        <v>3705</v>
      </c>
      <c r="Q320" s="796"/>
    </row>
    <row r="321" spans="1:32" ht="12" customHeight="1">
      <c r="B321" s="168" t="s">
        <v>2254</v>
      </c>
      <c r="C321" s="1412" t="s">
        <v>3153</v>
      </c>
      <c r="D321" s="1412"/>
      <c r="E321" s="1412"/>
      <c r="F321" s="1412"/>
      <c r="G321" s="1412"/>
      <c r="H321" s="1412"/>
      <c r="I321" s="1412"/>
      <c r="J321" s="1412"/>
      <c r="K321" s="1412"/>
      <c r="L321" s="1412"/>
      <c r="M321" s="1412"/>
      <c r="N321" s="1412"/>
      <c r="O321" s="192" t="s">
        <v>2254</v>
      </c>
      <c r="P321" s="2208" t="s">
        <v>3705</v>
      </c>
      <c r="Q321" s="796"/>
    </row>
    <row r="322" spans="1:32" ht="12" customHeight="1">
      <c r="B322" s="168" t="s">
        <v>1858</v>
      </c>
      <c r="C322" s="1412" t="s">
        <v>3283</v>
      </c>
      <c r="D322" s="1412"/>
      <c r="E322" s="1412"/>
      <c r="F322" s="1412"/>
      <c r="G322" s="1412"/>
      <c r="H322" s="1412"/>
      <c r="I322" s="1412"/>
      <c r="J322" s="1412"/>
      <c r="K322" s="1412"/>
      <c r="L322" s="1412"/>
      <c r="M322" s="1412"/>
      <c r="N322" s="1412"/>
      <c r="O322" s="192" t="s">
        <v>1858</v>
      </c>
      <c r="P322" s="2208" t="s">
        <v>3705</v>
      </c>
      <c r="Q322" s="796"/>
    </row>
    <row r="323" spans="1:32" ht="11.25" customHeight="1">
      <c r="B323" s="167" t="s">
        <v>1996</v>
      </c>
      <c r="D323" s="167"/>
      <c r="E323" s="167"/>
      <c r="F323" s="167"/>
      <c r="G323" s="167"/>
      <c r="H323" s="48"/>
      <c r="I323" s="1170"/>
      <c r="J323" s="1170"/>
      <c r="K323" s="1170"/>
      <c r="L323" s="1155"/>
      <c r="M323" s="1155"/>
      <c r="N323" s="1155"/>
      <c r="O323" s="1155"/>
      <c r="P323" s="1155"/>
      <c r="Q323" s="60"/>
    </row>
    <row r="324" spans="1:32" ht="11.45" customHeight="1">
      <c r="A324" s="2212" t="s">
        <v>3819</v>
      </c>
      <c r="B324" s="2213"/>
      <c r="C324" s="2213"/>
      <c r="D324" s="2213"/>
      <c r="E324" s="2213"/>
      <c r="F324" s="2213"/>
      <c r="G324" s="2213"/>
      <c r="H324" s="2213"/>
      <c r="I324" s="2213"/>
      <c r="J324" s="2213"/>
      <c r="K324" s="2213"/>
      <c r="L324" s="2213"/>
      <c r="M324" s="2213"/>
      <c r="N324" s="2213"/>
      <c r="O324" s="2213"/>
      <c r="P324" s="2213"/>
      <c r="Q324" s="2214"/>
      <c r="U324" s="162"/>
      <c r="V324" s="162"/>
      <c r="W324" s="162"/>
      <c r="X324" s="162"/>
      <c r="Y324" s="162"/>
      <c r="Z324" s="162"/>
      <c r="AA324" s="162"/>
      <c r="AB324" s="162"/>
      <c r="AC324" s="162"/>
      <c r="AD324" s="162"/>
      <c r="AE324" s="595"/>
    </row>
    <row r="325" spans="1:32" ht="11.25" customHeight="1">
      <c r="B325" s="163" t="s">
        <v>1997</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3">
        <v>22</v>
      </c>
      <c r="B328" s="5" t="s">
        <v>2901</v>
      </c>
      <c r="C328" s="5"/>
      <c r="D328" s="5"/>
      <c r="E328" s="5"/>
      <c r="F328" s="5"/>
      <c r="G328" s="5"/>
      <c r="H328" s="1162"/>
      <c r="I328" s="1162"/>
      <c r="J328" s="1162"/>
      <c r="K328" s="1162"/>
      <c r="L328" s="1162"/>
      <c r="M328" s="1162"/>
      <c r="O328" s="157" t="s">
        <v>1998</v>
      </c>
      <c r="P328" s="1422"/>
      <c r="Q328" s="1423"/>
    </row>
    <row r="329" spans="1:32" ht="12" customHeight="1">
      <c r="B329" s="55" t="s">
        <v>2119</v>
      </c>
      <c r="C329" s="138" t="s">
        <v>2897</v>
      </c>
      <c r="D329" s="1167"/>
      <c r="E329" s="1167"/>
      <c r="F329" s="1167"/>
      <c r="G329" s="1167"/>
      <c r="H329" s="1167"/>
      <c r="I329" s="50"/>
      <c r="J329" s="593" t="s">
        <v>2119</v>
      </c>
      <c r="K329" s="2258"/>
      <c r="L329" s="2259"/>
      <c r="M329" s="2259"/>
      <c r="N329" s="2259"/>
      <c r="O329" s="2259"/>
      <c r="P329" s="2274"/>
      <c r="Q329" s="796"/>
    </row>
    <row r="330" spans="1:32" ht="22.5" customHeight="1">
      <c r="B330" s="168" t="s">
        <v>2122</v>
      </c>
      <c r="C330" s="1400" t="s">
        <v>2896</v>
      </c>
      <c r="D330" s="1400"/>
      <c r="E330" s="1400"/>
      <c r="F330" s="1400"/>
      <c r="G330" s="1400"/>
      <c r="H330" s="1400"/>
      <c r="I330" s="1400"/>
      <c r="J330" s="1400"/>
      <c r="K330" s="1400"/>
      <c r="L330" s="1400"/>
      <c r="M330" s="1400"/>
      <c r="N330" s="1400"/>
      <c r="O330" s="192" t="s">
        <v>2122</v>
      </c>
      <c r="P330" s="2263" t="s">
        <v>3702</v>
      </c>
      <c r="Q330" s="796"/>
    </row>
    <row r="331" spans="1:32" ht="11.45" customHeight="1">
      <c r="B331" s="55" t="s">
        <v>800</v>
      </c>
      <c r="C331" s="62" t="s">
        <v>2898</v>
      </c>
      <c r="D331" s="62"/>
      <c r="E331" s="62"/>
      <c r="F331" s="62"/>
      <c r="G331" s="62"/>
      <c r="H331" s="62"/>
      <c r="I331" s="62"/>
      <c r="J331" s="62"/>
      <c r="K331" s="62"/>
      <c r="L331" s="38"/>
      <c r="M331" s="38"/>
      <c r="O331" s="593" t="s">
        <v>800</v>
      </c>
      <c r="P331" s="2208" t="s">
        <v>3702</v>
      </c>
      <c r="Q331" s="796"/>
    </row>
    <row r="332" spans="1:32" ht="11.45" customHeight="1">
      <c r="B332" s="55" t="s">
        <v>2254</v>
      </c>
      <c r="C332" s="62" t="s">
        <v>2899</v>
      </c>
      <c r="D332" s="62"/>
      <c r="E332" s="62"/>
      <c r="F332" s="62"/>
      <c r="G332" s="62"/>
      <c r="H332" s="62"/>
      <c r="I332" s="62"/>
      <c r="J332" s="62"/>
      <c r="K332" s="62"/>
      <c r="L332" s="62"/>
      <c r="M332" s="62"/>
      <c r="O332" s="593" t="s">
        <v>2254</v>
      </c>
      <c r="P332" s="2208" t="s">
        <v>3702</v>
      </c>
      <c r="Q332" s="796"/>
    </row>
    <row r="333" spans="1:32" s="158" customFormat="1" ht="11.45" customHeight="1">
      <c r="B333" s="168" t="s">
        <v>1858</v>
      </c>
      <c r="C333" s="1412" t="s">
        <v>2903</v>
      </c>
      <c r="D333" s="1412"/>
      <c r="E333" s="1412"/>
      <c r="F333" s="1412"/>
      <c r="G333" s="1412"/>
      <c r="H333" s="1412"/>
      <c r="I333" s="1412"/>
      <c r="J333" s="1412"/>
      <c r="K333" s="1412"/>
      <c r="L333" s="1412"/>
      <c r="M333" s="1412"/>
      <c r="N333" s="1412"/>
      <c r="O333" s="192" t="s">
        <v>1858</v>
      </c>
      <c r="P333" s="2263" t="s">
        <v>3702</v>
      </c>
      <c r="Q333" s="816"/>
      <c r="AE333" s="596"/>
      <c r="AF333" s="596"/>
    </row>
    <row r="334" spans="1:32" s="158" customFormat="1" ht="11.45" customHeight="1">
      <c r="B334" s="168" t="s">
        <v>1859</v>
      </c>
      <c r="C334" s="1412" t="s">
        <v>2906</v>
      </c>
      <c r="D334" s="1412"/>
      <c r="E334" s="1412"/>
      <c r="F334" s="1412"/>
      <c r="G334" s="1412"/>
      <c r="H334" s="1412"/>
      <c r="I334" s="1412"/>
      <c r="J334" s="1412"/>
      <c r="K334" s="1412"/>
      <c r="L334" s="1412"/>
      <c r="M334" s="1412"/>
      <c r="N334" s="1412"/>
      <c r="O334" s="192" t="s">
        <v>1859</v>
      </c>
      <c r="P334" s="2263" t="s">
        <v>3702</v>
      </c>
      <c r="Q334" s="816"/>
      <c r="AE334" s="596"/>
      <c r="AF334" s="596"/>
    </row>
    <row r="335" spans="1:32" ht="11.45" customHeight="1">
      <c r="B335" s="55" t="s">
        <v>2082</v>
      </c>
      <c r="C335" s="62" t="s">
        <v>2900</v>
      </c>
      <c r="D335" s="62"/>
      <c r="E335" s="62"/>
      <c r="F335" s="62"/>
      <c r="G335" s="62"/>
      <c r="H335" s="62"/>
      <c r="I335" s="62"/>
      <c r="J335" s="62"/>
      <c r="K335" s="62"/>
      <c r="L335" s="62"/>
      <c r="M335" s="62"/>
      <c r="O335" s="593" t="s">
        <v>2082</v>
      </c>
      <c r="P335" s="2208" t="s">
        <v>3702</v>
      </c>
      <c r="Q335" s="796"/>
    </row>
    <row r="336" spans="1:32" ht="11.25" customHeight="1">
      <c r="B336" s="167" t="s">
        <v>1996</v>
      </c>
      <c r="D336" s="167"/>
      <c r="E336" s="167"/>
      <c r="F336" s="167"/>
      <c r="G336" s="167"/>
      <c r="H336" s="48"/>
      <c r="I336" s="1170"/>
      <c r="J336" s="1170"/>
      <c r="K336" s="1170"/>
      <c r="L336" s="1155"/>
      <c r="M336" s="1155"/>
      <c r="N336" s="1155"/>
      <c r="O336" s="1155"/>
      <c r="P336" s="1155"/>
      <c r="Q336" s="60"/>
    </row>
    <row r="337" spans="1:32" ht="11.45" customHeight="1">
      <c r="A337" s="2212"/>
      <c r="B337" s="2213"/>
      <c r="C337" s="2213"/>
      <c r="D337" s="2213"/>
      <c r="E337" s="2213"/>
      <c r="F337" s="2213"/>
      <c r="G337" s="2213"/>
      <c r="H337" s="2213"/>
      <c r="I337" s="2213"/>
      <c r="J337" s="2213"/>
      <c r="K337" s="2213"/>
      <c r="L337" s="2213"/>
      <c r="M337" s="2213"/>
      <c r="N337" s="2213"/>
      <c r="O337" s="2213"/>
      <c r="P337" s="2213"/>
      <c r="Q337" s="2214"/>
      <c r="U337" s="162"/>
      <c r="V337" s="162"/>
      <c r="W337" s="162"/>
      <c r="X337" s="162"/>
      <c r="Y337" s="162"/>
      <c r="Z337" s="162"/>
      <c r="AA337" s="162"/>
      <c r="AB337" s="162"/>
      <c r="AC337" s="162"/>
      <c r="AD337" s="162"/>
      <c r="AE337" s="595"/>
    </row>
    <row r="338" spans="1:32" ht="11.25" customHeight="1">
      <c r="B338" s="163" t="s">
        <v>1997</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3.9" customHeight="1">
      <c r="A341" s="1163">
        <v>23</v>
      </c>
      <c r="B341" s="5" t="s">
        <v>2907</v>
      </c>
      <c r="C341" s="5"/>
      <c r="D341" s="5"/>
      <c r="E341" s="5"/>
      <c r="F341" s="5"/>
      <c r="G341" s="5"/>
      <c r="H341" s="1162"/>
      <c r="I341" s="1162"/>
      <c r="J341" s="1162"/>
      <c r="O341" s="157" t="s">
        <v>1998</v>
      </c>
      <c r="P341" s="1422"/>
      <c r="Q341" s="1423"/>
    </row>
    <row r="342" spans="1:32" ht="11.45" customHeight="1">
      <c r="B342" s="55" t="s">
        <v>2119</v>
      </c>
      <c r="C342" s="138" t="s">
        <v>1097</v>
      </c>
      <c r="E342" s="2264"/>
      <c r="F342" s="2265"/>
      <c r="G342" s="2265"/>
      <c r="H342" s="2265"/>
      <c r="I342" s="2266"/>
      <c r="J342" s="1424" t="s">
        <v>2873</v>
      </c>
      <c r="K342" s="1425"/>
      <c r="L342" s="1426"/>
      <c r="M342" s="2264"/>
      <c r="N342" s="2265"/>
      <c r="O342" s="2265"/>
      <c r="P342" s="2265"/>
      <c r="Q342" s="2266"/>
    </row>
    <row r="343" spans="1:32" ht="11.45" customHeight="1">
      <c r="B343" s="55" t="s">
        <v>2122</v>
      </c>
      <c r="C343" s="62" t="s">
        <v>1863</v>
      </c>
      <c r="D343" s="62"/>
      <c r="E343" s="62"/>
      <c r="F343" s="62"/>
      <c r="G343" s="62"/>
      <c r="H343" s="62"/>
      <c r="I343" s="62"/>
      <c r="J343" s="62"/>
      <c r="K343" s="62"/>
      <c r="L343" s="38"/>
      <c r="M343" s="38"/>
      <c r="O343" s="593" t="s">
        <v>2122</v>
      </c>
      <c r="P343" s="2208" t="s">
        <v>3702</v>
      </c>
      <c r="Q343" s="796"/>
    </row>
    <row r="344" spans="1:32" ht="22.5" customHeight="1">
      <c r="B344" s="168" t="s">
        <v>800</v>
      </c>
      <c r="C344" s="1400" t="s">
        <v>2988</v>
      </c>
      <c r="D344" s="1400"/>
      <c r="E344" s="1400"/>
      <c r="F344" s="1400"/>
      <c r="G344" s="1400"/>
      <c r="H344" s="1400"/>
      <c r="I344" s="1400"/>
      <c r="J344" s="1400"/>
      <c r="K344" s="1400"/>
      <c r="L344" s="1400"/>
      <c r="M344" s="1400"/>
      <c r="N344" s="1400"/>
      <c r="O344" s="593" t="s">
        <v>800</v>
      </c>
      <c r="P344" s="2208" t="s">
        <v>3702</v>
      </c>
      <c r="Q344" s="796"/>
    </row>
    <row r="345" spans="1:32" ht="11.25" customHeight="1">
      <c r="B345" s="167" t="s">
        <v>1996</v>
      </c>
      <c r="D345" s="167"/>
      <c r="E345" s="167"/>
      <c r="F345" s="167"/>
      <c r="G345" s="167"/>
      <c r="H345" s="48"/>
      <c r="I345" s="1170"/>
      <c r="J345" s="1170"/>
      <c r="K345" s="1170"/>
      <c r="L345" s="1155"/>
      <c r="M345" s="1155"/>
      <c r="N345" s="1155"/>
      <c r="O345" s="1155"/>
      <c r="P345" s="1155"/>
      <c r="Q345" s="60"/>
    </row>
    <row r="346" spans="1:32" ht="11.45" customHeight="1">
      <c r="A346" s="2212"/>
      <c r="B346" s="2213"/>
      <c r="C346" s="2213"/>
      <c r="D346" s="2213"/>
      <c r="E346" s="2213"/>
      <c r="F346" s="2213"/>
      <c r="G346" s="2213"/>
      <c r="H346" s="2213"/>
      <c r="I346" s="2213"/>
      <c r="J346" s="2213"/>
      <c r="K346" s="2213"/>
      <c r="L346" s="2213"/>
      <c r="M346" s="2213"/>
      <c r="N346" s="2213"/>
      <c r="O346" s="2213"/>
      <c r="P346" s="2213"/>
      <c r="Q346" s="2214"/>
      <c r="U346" s="162"/>
      <c r="V346" s="162"/>
      <c r="W346" s="162"/>
      <c r="X346" s="162"/>
      <c r="Y346" s="162"/>
      <c r="Z346" s="162"/>
      <c r="AA346" s="162"/>
      <c r="AB346" s="162"/>
      <c r="AC346" s="162"/>
      <c r="AD346" s="162"/>
      <c r="AE346" s="595"/>
    </row>
    <row r="347" spans="1:32" ht="11.25" customHeight="1">
      <c r="B347" s="163" t="s">
        <v>1997</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6" customHeight="1">
      <c r="A349" s="1155"/>
      <c r="B349" s="1170"/>
      <c r="C349" s="1162"/>
      <c r="D349" s="1162"/>
      <c r="E349" s="1162"/>
      <c r="F349" s="1162"/>
      <c r="G349" s="1162"/>
      <c r="H349" s="1162"/>
      <c r="I349" s="1162"/>
      <c r="J349" s="1162"/>
      <c r="K349" s="1162"/>
      <c r="L349" s="1162"/>
      <c r="M349" s="1162"/>
      <c r="Q349" s="60"/>
    </row>
    <row r="350" spans="1:32" ht="13.9" customHeight="1">
      <c r="A350" s="1163">
        <v>24</v>
      </c>
      <c r="B350" s="5" t="s">
        <v>2871</v>
      </c>
      <c r="C350" s="5"/>
      <c r="D350" s="101"/>
      <c r="E350" s="1162"/>
      <c r="F350" s="1162"/>
      <c r="G350" s="1162"/>
      <c r="H350" s="1162"/>
      <c r="I350" s="1162"/>
      <c r="J350" s="1162"/>
      <c r="K350" s="1162"/>
      <c r="L350" s="1162"/>
      <c r="M350" s="1162"/>
      <c r="O350" s="157" t="s">
        <v>1998</v>
      </c>
      <c r="P350" s="1422"/>
      <c r="Q350" s="1423"/>
    </row>
    <row r="351" spans="1:32" s="1" customFormat="1" ht="23.45" customHeight="1">
      <c r="B351" s="168" t="s">
        <v>2119</v>
      </c>
      <c r="C351" s="1412" t="s">
        <v>155</v>
      </c>
      <c r="D351" s="1412"/>
      <c r="E351" s="1412"/>
      <c r="F351" s="1412"/>
      <c r="G351" s="1412"/>
      <c r="H351" s="1412"/>
      <c r="I351" s="1412"/>
      <c r="J351" s="1412"/>
      <c r="K351" s="1412"/>
      <c r="L351" s="1412"/>
      <c r="M351" s="192" t="s">
        <v>2119</v>
      </c>
      <c r="N351" s="2303" t="s">
        <v>3820</v>
      </c>
      <c r="O351" s="2304"/>
      <c r="P351" s="1415" t="s">
        <v>1896</v>
      </c>
      <c r="Q351" s="1416"/>
      <c r="AE351" s="6"/>
      <c r="AF351" s="6"/>
    </row>
    <row r="352" spans="1:32" s="1" customFormat="1" ht="12" customHeight="1">
      <c r="B352" s="55" t="s">
        <v>2122</v>
      </c>
      <c r="C352" s="135" t="s">
        <v>1</v>
      </c>
      <c r="D352" s="178"/>
      <c r="E352" s="178"/>
      <c r="G352" s="593" t="s">
        <v>2122</v>
      </c>
      <c r="H352" s="2267" t="s">
        <v>3821</v>
      </c>
      <c r="I352" s="2268"/>
      <c r="J352" s="2268"/>
      <c r="K352" s="2268"/>
      <c r="L352" s="2268"/>
      <c r="M352" s="2268"/>
      <c r="N352" s="2268"/>
      <c r="O352" s="2268"/>
      <c r="P352" s="2269"/>
      <c r="Q352" s="796"/>
      <c r="AE352" s="6"/>
      <c r="AF352" s="6"/>
    </row>
    <row r="353" spans="1:32" s="1" customFormat="1" ht="12" customHeight="1">
      <c r="B353" s="55" t="s">
        <v>800</v>
      </c>
      <c r="C353" s="38" t="s">
        <v>1508</v>
      </c>
      <c r="D353" s="12"/>
      <c r="E353" s="12"/>
      <c r="F353" s="12"/>
      <c r="G353" s="8"/>
      <c r="H353" s="8"/>
      <c r="I353" s="38"/>
      <c r="K353" s="8"/>
      <c r="L353" s="8"/>
      <c r="M353" s="8"/>
      <c r="O353" s="593" t="s">
        <v>800</v>
      </c>
      <c r="P353" s="2208" t="s">
        <v>3702</v>
      </c>
      <c r="Q353" s="796"/>
      <c r="AE353" s="6"/>
      <c r="AF353" s="6"/>
    </row>
    <row r="354" spans="1:32" ht="11.25" customHeight="1">
      <c r="B354" s="167" t="s">
        <v>1996</v>
      </c>
      <c r="D354" s="167"/>
      <c r="E354" s="167"/>
      <c r="F354" s="167"/>
      <c r="G354" s="167"/>
      <c r="H354" s="48"/>
      <c r="I354" s="1170"/>
      <c r="J354" s="1170"/>
      <c r="K354" s="1170"/>
      <c r="L354" s="1155"/>
      <c r="M354" s="1155"/>
      <c r="N354" s="1155"/>
      <c r="O354" s="1155"/>
      <c r="P354" s="1155"/>
      <c r="Q354" s="60"/>
    </row>
    <row r="355" spans="1:32" ht="11.45" customHeight="1">
      <c r="A355" s="2212" t="s">
        <v>3838</v>
      </c>
      <c r="B355" s="2213"/>
      <c r="C355" s="2213"/>
      <c r="D355" s="2213"/>
      <c r="E355" s="2213"/>
      <c r="F355" s="2213"/>
      <c r="G355" s="2213"/>
      <c r="H355" s="2213"/>
      <c r="I355" s="2213"/>
      <c r="J355" s="2213"/>
      <c r="K355" s="2213"/>
      <c r="L355" s="2213"/>
      <c r="M355" s="2213"/>
      <c r="N355" s="2213"/>
      <c r="O355" s="2213"/>
      <c r="P355" s="2213"/>
      <c r="Q355" s="2214"/>
      <c r="R355" s="562" t="s">
        <v>1333</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1997</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3.9" customHeight="1">
      <c r="A360" s="1163">
        <v>25</v>
      </c>
      <c r="B360" s="5" t="s">
        <v>2868</v>
      </c>
      <c r="C360" s="5"/>
      <c r="D360" s="5"/>
      <c r="E360" s="1162"/>
      <c r="G360" s="166" t="s">
        <v>750</v>
      </c>
      <c r="H360" s="1162"/>
      <c r="I360" s="1162"/>
      <c r="J360" s="1162"/>
      <c r="K360" s="1162"/>
      <c r="L360" s="1162"/>
      <c r="M360" s="1162"/>
      <c r="O360" s="157" t="s">
        <v>1998</v>
      </c>
      <c r="P360" s="1422"/>
      <c r="Q360" s="1433"/>
    </row>
    <row r="361" spans="1:32" ht="12" customHeight="1">
      <c r="A361" s="170"/>
      <c r="B361" s="55" t="s">
        <v>2119</v>
      </c>
      <c r="C361" s="62" t="s">
        <v>2875</v>
      </c>
      <c r="D361" s="555"/>
      <c r="E361" s="555"/>
      <c r="H361" s="166"/>
      <c r="O361" s="593" t="s">
        <v>2119</v>
      </c>
      <c r="P361" s="2208" t="s">
        <v>3705</v>
      </c>
      <c r="Q361" s="796"/>
    </row>
    <row r="362" spans="1:32" ht="12" customHeight="1">
      <c r="A362" s="170"/>
      <c r="B362" s="55" t="s">
        <v>2122</v>
      </c>
      <c r="C362" s="62" t="s">
        <v>2876</v>
      </c>
      <c r="D362" s="555"/>
      <c r="E362" s="555"/>
      <c r="O362" s="593" t="s">
        <v>2122</v>
      </c>
      <c r="P362" s="2208" t="s">
        <v>3702</v>
      </c>
      <c r="Q362" s="796"/>
    </row>
    <row r="363" spans="1:32" ht="12" customHeight="1">
      <c r="A363" s="170"/>
      <c r="B363" s="55" t="s">
        <v>800</v>
      </c>
      <c r="C363" s="62" t="s">
        <v>2908</v>
      </c>
      <c r="D363" s="555"/>
      <c r="E363" s="555"/>
      <c r="O363" s="593" t="s">
        <v>800</v>
      </c>
      <c r="P363" s="2208" t="s">
        <v>3702</v>
      </c>
      <c r="Q363" s="796"/>
    </row>
    <row r="364" spans="1:32" ht="12" customHeight="1">
      <c r="A364" s="170"/>
      <c r="B364" s="55" t="s">
        <v>2254</v>
      </c>
      <c r="C364" s="62" t="s">
        <v>2872</v>
      </c>
      <c r="E364" s="166"/>
      <c r="O364" s="593" t="s">
        <v>2254</v>
      </c>
      <c r="P364" s="2208" t="s">
        <v>3702</v>
      </c>
      <c r="Q364" s="796"/>
    </row>
    <row r="365" spans="1:32" ht="12" customHeight="1">
      <c r="B365" s="55" t="s">
        <v>1858</v>
      </c>
      <c r="C365" s="62" t="s">
        <v>2218</v>
      </c>
      <c r="E365" s="166"/>
      <c r="G365" s="593" t="s">
        <v>1858</v>
      </c>
      <c r="H365" s="2305"/>
      <c r="I365" s="2306"/>
      <c r="J365" s="2306"/>
      <c r="K365" s="2306"/>
      <c r="L365" s="2306"/>
      <c r="M365" s="2306"/>
      <c r="N365" s="2306"/>
      <c r="O365" s="2307"/>
      <c r="P365" s="2208"/>
      <c r="Q365" s="796"/>
    </row>
    <row r="366" spans="1:32" ht="11.25" customHeight="1">
      <c r="B366" s="167" t="s">
        <v>1996</v>
      </c>
      <c r="D366" s="167"/>
      <c r="E366" s="167"/>
      <c r="F366" s="167"/>
      <c r="G366" s="167"/>
      <c r="H366" s="48"/>
      <c r="I366" s="1170"/>
      <c r="J366" s="1170"/>
      <c r="K366" s="1170"/>
      <c r="L366" s="1155"/>
      <c r="M366" s="1155"/>
      <c r="N366" s="1155"/>
      <c r="O366" s="1155"/>
      <c r="P366" s="1155"/>
      <c r="Q366" s="60"/>
    </row>
    <row r="367" spans="1:32" ht="11.45" customHeight="1">
      <c r="A367" s="2212" t="s">
        <v>3822</v>
      </c>
      <c r="B367" s="2213"/>
      <c r="C367" s="2213"/>
      <c r="D367" s="2213"/>
      <c r="E367" s="2213"/>
      <c r="F367" s="2213"/>
      <c r="G367" s="2213"/>
      <c r="H367" s="2213"/>
      <c r="I367" s="2213"/>
      <c r="J367" s="2213"/>
      <c r="K367" s="2213"/>
      <c r="L367" s="2213"/>
      <c r="M367" s="2213"/>
      <c r="N367" s="2213"/>
      <c r="O367" s="2213"/>
      <c r="P367" s="2213"/>
      <c r="Q367" s="2214"/>
      <c r="U367" s="162"/>
      <c r="V367" s="162"/>
      <c r="W367" s="162"/>
      <c r="X367" s="162"/>
      <c r="Y367" s="162"/>
      <c r="Z367" s="162"/>
      <c r="AA367" s="162"/>
      <c r="AB367" s="162"/>
      <c r="AC367" s="162"/>
      <c r="AD367" s="162"/>
      <c r="AE367" s="595"/>
    </row>
    <row r="368" spans="1:32" ht="11.25" customHeight="1">
      <c r="B368" s="163" t="s">
        <v>1997</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3.9" customHeight="1">
      <c r="A371" s="1163">
        <v>26</v>
      </c>
      <c r="B371" s="5" t="s">
        <v>2869</v>
      </c>
      <c r="C371" s="5"/>
      <c r="D371" s="5"/>
      <c r="E371" s="5"/>
      <c r="F371" s="5"/>
      <c r="G371" s="5"/>
      <c r="H371" s="1162"/>
      <c r="I371" s="1162"/>
      <c r="J371" s="1162"/>
      <c r="K371" s="1162"/>
      <c r="L371" s="1162"/>
      <c r="M371" s="1162"/>
      <c r="O371" s="157" t="s">
        <v>1998</v>
      </c>
      <c r="P371" s="1422"/>
      <c r="Q371" s="1433"/>
    </row>
    <row r="372" spans="1:17" ht="12" customHeight="1">
      <c r="A372" s="50"/>
      <c r="B372" s="55" t="s">
        <v>2119</v>
      </c>
      <c r="C372" s="47" t="s">
        <v>803</v>
      </c>
      <c r="D372" s="50"/>
      <c r="E372" s="50"/>
      <c r="F372" s="50"/>
      <c r="G372" s="50"/>
      <c r="H372" s="50"/>
      <c r="I372" s="50"/>
      <c r="J372" s="50"/>
      <c r="K372" s="50"/>
      <c r="L372" s="50"/>
      <c r="M372" s="50"/>
      <c r="N372" s="50"/>
      <c r="O372" s="593" t="s">
        <v>2119</v>
      </c>
      <c r="P372" s="2208" t="s">
        <v>3705</v>
      </c>
      <c r="Q372" s="796"/>
    </row>
    <row r="373" spans="1:17" ht="12" customHeight="1">
      <c r="A373" s="50"/>
      <c r="B373" s="55" t="s">
        <v>2122</v>
      </c>
      <c r="C373" s="47" t="s">
        <v>2344</v>
      </c>
      <c r="D373" s="50"/>
      <c r="E373" s="50"/>
      <c r="F373" s="50"/>
      <c r="G373" s="50"/>
      <c r="H373" s="50"/>
      <c r="I373" s="50"/>
      <c r="J373" s="50"/>
      <c r="K373" s="50"/>
      <c r="L373" s="50"/>
      <c r="M373" s="50"/>
      <c r="N373" s="50"/>
      <c r="O373" s="593" t="s">
        <v>1543</v>
      </c>
      <c r="P373" s="2208" t="s">
        <v>3702</v>
      </c>
      <c r="Q373" s="796"/>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1861</v>
      </c>
      <c r="P375" s="2208" t="s">
        <v>3702</v>
      </c>
      <c r="Q375" s="796"/>
    </row>
    <row r="376" spans="1:17" ht="12" customHeight="1">
      <c r="A376" s="50"/>
      <c r="B376" s="55" t="s">
        <v>800</v>
      </c>
      <c r="C376" s="1400" t="s">
        <v>2343</v>
      </c>
      <c r="D376" s="1400"/>
      <c r="E376" s="1400"/>
      <c r="F376" s="1400"/>
      <c r="G376" s="1400"/>
      <c r="H376" s="1400"/>
      <c r="I376" s="1400"/>
      <c r="J376" s="1400"/>
      <c r="K376" s="1400"/>
      <c r="L376" s="1400"/>
      <c r="M376" s="1400"/>
      <c r="N376" s="1400"/>
      <c r="O376" s="593" t="s">
        <v>800</v>
      </c>
      <c r="P376" s="2208" t="s">
        <v>3705</v>
      </c>
      <c r="Q376" s="796"/>
    </row>
    <row r="377" spans="1:17" ht="12" customHeight="1">
      <c r="A377" s="50"/>
      <c r="B377" s="55" t="s">
        <v>2254</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747">
        <v>0</v>
      </c>
      <c r="H378" s="823" t="s">
        <v>257</v>
      </c>
      <c r="J378" s="160" t="s">
        <v>2349</v>
      </c>
      <c r="K378" s="38"/>
      <c r="N378" s="1747">
        <v>31</v>
      </c>
      <c r="O378" s="823" t="s">
        <v>257</v>
      </c>
    </row>
    <row r="379" spans="1:17" ht="12" customHeight="1">
      <c r="A379" s="50"/>
      <c r="B379" s="55"/>
      <c r="C379" s="160" t="s">
        <v>2347</v>
      </c>
      <c r="D379" s="44"/>
      <c r="E379" s="50"/>
      <c r="F379" s="38"/>
      <c r="G379" s="1755">
        <v>0</v>
      </c>
      <c r="H379" s="824"/>
      <c r="J379" s="160" t="s">
        <v>2350</v>
      </c>
      <c r="K379" s="38"/>
      <c r="N379" s="1763">
        <v>0</v>
      </c>
      <c r="O379" s="825"/>
    </row>
    <row r="380" spans="1:17" ht="12" customHeight="1">
      <c r="A380" s="50"/>
      <c r="B380" s="55"/>
      <c r="C380" s="160" t="s">
        <v>2348</v>
      </c>
      <c r="D380" s="44"/>
      <c r="E380" s="50"/>
      <c r="F380" s="38"/>
      <c r="G380" s="1763">
        <v>31</v>
      </c>
      <c r="H380" s="825" t="s">
        <v>257</v>
      </c>
      <c r="K380" s="38"/>
      <c r="L380" s="38"/>
      <c r="M380" s="38"/>
      <c r="N380" s="50"/>
      <c r="O380" s="593"/>
    </row>
    <row r="381" spans="1:17" ht="12" customHeight="1">
      <c r="A381" s="50"/>
      <c r="B381" s="55" t="s">
        <v>1858</v>
      </c>
      <c r="C381" s="38" t="s">
        <v>2542</v>
      </c>
      <c r="D381" s="38"/>
      <c r="E381" s="38"/>
      <c r="F381" s="38"/>
      <c r="G381" s="38"/>
      <c r="J381" s="50"/>
      <c r="K381" s="38"/>
      <c r="L381" s="38"/>
      <c r="M381" s="38"/>
      <c r="N381" s="50"/>
      <c r="O381" s="593"/>
      <c r="P381" s="593"/>
      <c r="Q381" s="593"/>
    </row>
    <row r="382" spans="1:17" ht="12" customHeight="1">
      <c r="A382" s="50"/>
      <c r="B382" s="55"/>
      <c r="C382" s="535" t="s">
        <v>2351</v>
      </c>
      <c r="D382" s="38"/>
      <c r="E382" s="38"/>
      <c r="F382" s="38"/>
      <c r="G382" s="2271" t="s">
        <v>3705</v>
      </c>
      <c r="H382" s="799"/>
      <c r="J382" s="535" t="s">
        <v>1254</v>
      </c>
      <c r="K382" s="38"/>
      <c r="N382" s="2262" t="s">
        <v>3705</v>
      </c>
      <c r="O382" s="797"/>
    </row>
    <row r="383" spans="1:17" ht="12" customHeight="1">
      <c r="A383" s="50"/>
      <c r="B383" s="55"/>
      <c r="C383" s="535" t="s">
        <v>1253</v>
      </c>
      <c r="D383" s="38"/>
      <c r="E383" s="38"/>
      <c r="F383" s="38"/>
      <c r="G383" s="2273" t="s">
        <v>3705</v>
      </c>
      <c r="H383" s="801"/>
      <c r="J383" s="535" t="s">
        <v>2402</v>
      </c>
      <c r="N383" s="2308"/>
      <c r="O383" s="2309"/>
      <c r="P383" s="2309"/>
      <c r="Q383" s="2310"/>
    </row>
    <row r="384" spans="1:17" ht="12" customHeight="1">
      <c r="B384" s="167" t="s">
        <v>1996</v>
      </c>
      <c r="D384" s="167"/>
      <c r="E384" s="167"/>
      <c r="F384" s="167"/>
      <c r="G384" s="167"/>
      <c r="H384" s="48"/>
      <c r="I384" s="1170"/>
      <c r="J384" s="1170"/>
      <c r="K384" s="1170"/>
      <c r="P384" s="1155"/>
      <c r="Q384" s="60"/>
    </row>
    <row r="385" spans="1:32" ht="12" customHeight="1">
      <c r="A385" s="2212" t="s">
        <v>3823</v>
      </c>
      <c r="B385" s="2213"/>
      <c r="C385" s="2213"/>
      <c r="D385" s="2213"/>
      <c r="E385" s="2213"/>
      <c r="F385" s="2213"/>
      <c r="G385" s="2213"/>
      <c r="H385" s="2213"/>
      <c r="I385" s="2213"/>
      <c r="J385" s="2213"/>
      <c r="K385" s="2213"/>
      <c r="L385" s="2213"/>
      <c r="M385" s="2213"/>
      <c r="N385" s="2213"/>
      <c r="O385" s="2213"/>
      <c r="P385" s="2213"/>
      <c r="Q385" s="2214"/>
      <c r="U385" s="162"/>
      <c r="V385" s="162"/>
      <c r="W385" s="162"/>
      <c r="X385" s="162"/>
      <c r="Y385" s="162"/>
      <c r="Z385" s="162"/>
      <c r="AA385" s="162"/>
      <c r="AB385" s="162"/>
      <c r="AC385" s="162"/>
      <c r="AD385" s="162"/>
      <c r="AE385" s="595"/>
    </row>
    <row r="386" spans="1:32" ht="12" customHeight="1">
      <c r="B386" s="163" t="s">
        <v>1997</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3.9" customHeight="1">
      <c r="A389" s="1163">
        <v>27</v>
      </c>
      <c r="B389" s="5" t="s">
        <v>3285</v>
      </c>
      <c r="C389" s="5"/>
      <c r="D389" s="101"/>
      <c r="E389" s="1162"/>
      <c r="F389" s="1162"/>
      <c r="G389" s="1162"/>
      <c r="H389" s="1162"/>
      <c r="O389" s="157" t="s">
        <v>1998</v>
      </c>
      <c r="P389" s="1422"/>
      <c r="Q389" s="1423"/>
    </row>
    <row r="390" spans="1:32" s="158" customFormat="1" ht="21.75" customHeight="1">
      <c r="B390" s="168" t="s">
        <v>2119</v>
      </c>
      <c r="C390" s="1413" t="s">
        <v>3286</v>
      </c>
      <c r="D390" s="1413"/>
      <c r="E390" s="1413"/>
      <c r="F390" s="1413"/>
      <c r="G390" s="1413"/>
      <c r="H390" s="1413"/>
      <c r="I390" s="1413"/>
      <c r="J390" s="1413"/>
      <c r="K390" s="1413"/>
      <c r="L390" s="1413"/>
      <c r="M390" s="1413"/>
      <c r="N390" s="1413"/>
      <c r="O390" s="192" t="s">
        <v>2119</v>
      </c>
      <c r="P390" s="2263" t="s">
        <v>3770</v>
      </c>
      <c r="Q390" s="816"/>
      <c r="AE390" s="596"/>
      <c r="AF390" s="596"/>
    </row>
    <row r="391" spans="1:32" s="158" customFormat="1" ht="21.75" customHeight="1">
      <c r="B391" s="168" t="s">
        <v>2122</v>
      </c>
      <c r="C391" s="1413" t="s">
        <v>3287</v>
      </c>
      <c r="D391" s="1413"/>
      <c r="E391" s="1413"/>
      <c r="F391" s="1413"/>
      <c r="G391" s="1413"/>
      <c r="H391" s="1413"/>
      <c r="I391" s="1413"/>
      <c r="J391" s="1413"/>
      <c r="K391" s="1413"/>
      <c r="L391" s="1413"/>
      <c r="M391" s="1413"/>
      <c r="N391" s="1413"/>
      <c r="O391" s="192" t="s">
        <v>2122</v>
      </c>
      <c r="P391" s="2263" t="s">
        <v>3770</v>
      </c>
      <c r="Q391" s="816"/>
      <c r="AE391" s="596"/>
      <c r="AF391" s="596"/>
    </row>
    <row r="392" spans="1:32" s="158" customFormat="1" ht="21.75" customHeight="1">
      <c r="B392" s="168" t="s">
        <v>800</v>
      </c>
      <c r="C392" s="1413" t="s">
        <v>3288</v>
      </c>
      <c r="D392" s="1413"/>
      <c r="E392" s="1413"/>
      <c r="F392" s="1413"/>
      <c r="G392" s="1413"/>
      <c r="H392" s="1413"/>
      <c r="I392" s="1413"/>
      <c r="J392" s="1413"/>
      <c r="K392" s="1413"/>
      <c r="L392" s="1413"/>
      <c r="M392" s="1413"/>
      <c r="N392" s="1413"/>
      <c r="O392" s="192" t="s">
        <v>800</v>
      </c>
      <c r="P392" s="2263" t="s">
        <v>3770</v>
      </c>
      <c r="Q392" s="816"/>
      <c r="AE392" s="596"/>
      <c r="AF392" s="596"/>
    </row>
    <row r="393" spans="1:32" s="158" customFormat="1" ht="33.75" customHeight="1">
      <c r="B393" s="168" t="s">
        <v>2254</v>
      </c>
      <c r="C393" s="1413" t="s">
        <v>3289</v>
      </c>
      <c r="D393" s="1413"/>
      <c r="E393" s="1413"/>
      <c r="F393" s="1413"/>
      <c r="G393" s="1413"/>
      <c r="H393" s="1413"/>
      <c r="I393" s="1413"/>
      <c r="J393" s="1413"/>
      <c r="K393" s="1413"/>
      <c r="L393" s="1413"/>
      <c r="M393" s="1413"/>
      <c r="N393" s="1413"/>
      <c r="O393" s="192" t="s">
        <v>2254</v>
      </c>
      <c r="P393" s="2263" t="s">
        <v>3770</v>
      </c>
      <c r="Q393" s="816"/>
      <c r="AE393" s="596"/>
      <c r="AF393" s="596"/>
    </row>
    <row r="394" spans="1:32" s="158" customFormat="1" ht="21.75" customHeight="1">
      <c r="B394" s="168" t="s">
        <v>1858</v>
      </c>
      <c r="C394" s="1413" t="s">
        <v>3290</v>
      </c>
      <c r="D394" s="1413"/>
      <c r="E394" s="1413"/>
      <c r="F394" s="1413"/>
      <c r="G394" s="1413"/>
      <c r="H394" s="1413"/>
      <c r="I394" s="1413"/>
      <c r="J394" s="1413"/>
      <c r="K394" s="1413"/>
      <c r="L394" s="1413"/>
      <c r="M394" s="1413"/>
      <c r="N394" s="1413"/>
      <c r="O394" s="192" t="s">
        <v>1858</v>
      </c>
      <c r="P394" s="2263" t="s">
        <v>3770</v>
      </c>
      <c r="Q394" s="816"/>
      <c r="AE394" s="596"/>
      <c r="AF394" s="596"/>
    </row>
    <row r="395" spans="1:32" s="158" customFormat="1" ht="21.75" customHeight="1">
      <c r="B395" s="168" t="s">
        <v>1859</v>
      </c>
      <c r="C395" s="1413" t="s">
        <v>3291</v>
      </c>
      <c r="D395" s="1413"/>
      <c r="E395" s="1413"/>
      <c r="F395" s="1413"/>
      <c r="G395" s="1413"/>
      <c r="H395" s="1413"/>
      <c r="I395" s="1413"/>
      <c r="J395" s="1413"/>
      <c r="K395" s="1413"/>
      <c r="L395" s="1413"/>
      <c r="M395" s="1413"/>
      <c r="N395" s="1413"/>
      <c r="O395" s="192" t="s">
        <v>1859</v>
      </c>
      <c r="P395" s="2263" t="s">
        <v>3770</v>
      </c>
      <c r="Q395" s="816"/>
      <c r="AE395" s="596"/>
      <c r="AF395" s="596"/>
    </row>
    <row r="396" spans="1:32" s="158" customFormat="1" ht="21.75" customHeight="1">
      <c r="B396" s="168" t="s">
        <v>2082</v>
      </c>
      <c r="C396" s="1413" t="s">
        <v>2904</v>
      </c>
      <c r="D396" s="1413"/>
      <c r="E396" s="1413"/>
      <c r="F396" s="1413"/>
      <c r="G396" s="1413"/>
      <c r="H396" s="1413"/>
      <c r="I396" s="1413"/>
      <c r="J396" s="1413"/>
      <c r="K396" s="1413"/>
      <c r="L396" s="1413"/>
      <c r="M396" s="1413"/>
      <c r="N396" s="1413"/>
      <c r="O396" s="192" t="s">
        <v>2082</v>
      </c>
      <c r="P396" s="2263" t="s">
        <v>3770</v>
      </c>
      <c r="Q396" s="816"/>
      <c r="AE396" s="596"/>
      <c r="AF396" s="596"/>
    </row>
    <row r="397" spans="1:32" ht="11.25" customHeight="1">
      <c r="B397" s="167" t="s">
        <v>1996</v>
      </c>
      <c r="D397" s="167"/>
      <c r="E397" s="167"/>
      <c r="F397" s="167"/>
      <c r="G397" s="167"/>
      <c r="H397" s="48"/>
      <c r="I397" s="1170"/>
      <c r="J397" s="1170"/>
      <c r="K397" s="1170"/>
      <c r="L397" s="1155"/>
      <c r="M397" s="1155"/>
      <c r="N397" s="1155"/>
      <c r="O397" s="1155"/>
      <c r="P397" s="1155"/>
      <c r="Q397" s="60"/>
    </row>
    <row r="398" spans="1:32" ht="11.45" customHeight="1">
      <c r="A398" s="2212" t="s">
        <v>3824</v>
      </c>
      <c r="B398" s="2213"/>
      <c r="C398" s="2213"/>
      <c r="D398" s="2213"/>
      <c r="E398" s="2213"/>
      <c r="F398" s="2213"/>
      <c r="G398" s="2213"/>
      <c r="H398" s="2213"/>
      <c r="I398" s="2213"/>
      <c r="J398" s="2213"/>
      <c r="K398" s="2213"/>
      <c r="L398" s="2213"/>
      <c r="M398" s="2213"/>
      <c r="N398" s="2213"/>
      <c r="O398" s="2213"/>
      <c r="P398" s="2213"/>
      <c r="Q398" s="2214"/>
      <c r="R398" s="561" t="s">
        <v>1333</v>
      </c>
      <c r="S398" s="562"/>
      <c r="U398" s="162"/>
      <c r="V398" s="162"/>
      <c r="W398" s="162"/>
      <c r="X398" s="162"/>
      <c r="Y398" s="162"/>
      <c r="Z398" s="162"/>
      <c r="AA398" s="162"/>
      <c r="AB398" s="162"/>
      <c r="AC398" s="162"/>
      <c r="AD398" s="162"/>
      <c r="AE398" s="595"/>
    </row>
    <row r="399" spans="1:32" ht="11.25" customHeight="1">
      <c r="B399" s="163" t="s">
        <v>1997</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3.9" customHeight="1">
      <c r="A402" s="1163">
        <v>28</v>
      </c>
      <c r="B402" s="5" t="s">
        <v>2870</v>
      </c>
      <c r="C402" s="5"/>
      <c r="D402" s="101"/>
      <c r="E402" s="1162"/>
      <c r="F402" s="1162"/>
      <c r="G402" s="1162"/>
      <c r="H402" s="1162"/>
      <c r="I402" s="1162"/>
      <c r="J402" s="1162"/>
      <c r="K402" s="1162"/>
      <c r="L402" s="1162"/>
      <c r="M402" s="1162"/>
      <c r="O402" s="157" t="s">
        <v>1998</v>
      </c>
      <c r="P402" s="1422"/>
      <c r="Q402" s="1423"/>
    </row>
    <row r="403" spans="1:32" ht="11.25" customHeight="1">
      <c r="A403" s="1163"/>
      <c r="B403" s="167" t="s">
        <v>1996</v>
      </c>
      <c r="D403" s="167"/>
      <c r="E403" s="167"/>
      <c r="F403" s="167"/>
      <c r="G403" s="167"/>
      <c r="H403" s="48"/>
      <c r="I403" s="1170"/>
      <c r="J403" s="1170"/>
      <c r="K403" s="1170"/>
      <c r="L403" s="1155"/>
      <c r="M403" s="1155"/>
      <c r="N403" s="1155"/>
      <c r="O403" s="1155"/>
      <c r="P403" s="1155"/>
      <c r="Q403" s="60"/>
    </row>
    <row r="404" spans="1:32" ht="11.45" customHeight="1">
      <c r="A404" s="2212"/>
      <c r="B404" s="2213"/>
      <c r="C404" s="2213"/>
      <c r="D404" s="2213"/>
      <c r="E404" s="2213"/>
      <c r="F404" s="2213"/>
      <c r="G404" s="2213"/>
      <c r="H404" s="2213"/>
      <c r="I404" s="2213"/>
      <c r="J404" s="2213"/>
      <c r="K404" s="2213"/>
      <c r="L404" s="2213"/>
      <c r="M404" s="2213"/>
      <c r="N404" s="2213"/>
      <c r="O404" s="2213"/>
      <c r="P404" s="2213"/>
      <c r="Q404" s="2214"/>
      <c r="R404" s="561" t="s">
        <v>1333</v>
      </c>
      <c r="S404" s="562"/>
      <c r="U404" s="162"/>
      <c r="V404" s="162"/>
      <c r="W404" s="162"/>
      <c r="X404" s="162"/>
      <c r="Y404" s="162"/>
      <c r="Z404" s="162"/>
      <c r="AA404" s="162"/>
      <c r="AB404" s="162"/>
      <c r="AC404" s="162"/>
      <c r="AD404" s="162"/>
      <c r="AE404" s="595"/>
    </row>
    <row r="405" spans="1:32" ht="11.25" customHeight="1">
      <c r="B405" s="163" t="s">
        <v>1997</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11"/>
      <c r="B410" s="2311"/>
      <c r="C410" s="2311"/>
      <c r="D410" s="2311"/>
      <c r="E410" s="2311"/>
      <c r="F410" s="2311"/>
      <c r="G410" s="2311"/>
      <c r="H410" s="2311"/>
      <c r="I410" s="2311"/>
      <c r="J410" s="2311"/>
      <c r="K410" s="2311"/>
      <c r="L410" s="2311"/>
      <c r="M410" s="2311"/>
      <c r="N410" s="2311"/>
      <c r="O410" s="2311"/>
      <c r="P410" s="2311"/>
      <c r="Q410" s="2311"/>
      <c r="AE410" s="597"/>
      <c r="AF410" s="597"/>
    </row>
    <row r="411" spans="1:32" s="175" customFormat="1" ht="12" customHeight="1">
      <c r="A411" s="2311"/>
      <c r="B411" s="2311"/>
      <c r="C411" s="2311"/>
      <c r="D411" s="2311"/>
      <c r="E411" s="2311"/>
      <c r="F411" s="2311"/>
      <c r="G411" s="2311"/>
      <c r="H411" s="2311"/>
      <c r="I411" s="2311"/>
      <c r="J411" s="2311"/>
      <c r="K411" s="2311"/>
      <c r="L411" s="2311"/>
      <c r="M411" s="2311"/>
      <c r="N411" s="2311"/>
      <c r="O411" s="2311"/>
      <c r="P411" s="2311"/>
      <c r="Q411" s="2311"/>
      <c r="AE411" s="597"/>
      <c r="AF411" s="597"/>
    </row>
    <row r="412" spans="1:32" s="175" customFormat="1" ht="12" customHeight="1">
      <c r="A412" s="2311"/>
      <c r="B412" s="2311"/>
      <c r="C412" s="2311"/>
      <c r="D412" s="2311"/>
      <c r="E412" s="2311"/>
      <c r="F412" s="2311"/>
      <c r="G412" s="2311"/>
      <c r="H412" s="2311"/>
      <c r="I412" s="2311"/>
      <c r="J412" s="2311"/>
      <c r="K412" s="2311"/>
      <c r="L412" s="2311"/>
      <c r="M412" s="2311"/>
      <c r="N412" s="2311"/>
      <c r="O412" s="2311"/>
      <c r="P412" s="2311"/>
      <c r="Q412" s="2311"/>
      <c r="AE412" s="597"/>
      <c r="AF412" s="597"/>
    </row>
    <row r="413" spans="1:32" s="175" customFormat="1" ht="12" customHeight="1">
      <c r="A413" s="2311"/>
      <c r="B413" s="2311"/>
      <c r="C413" s="2311"/>
      <c r="D413" s="2311"/>
      <c r="E413" s="2311"/>
      <c r="F413" s="2311"/>
      <c r="G413" s="2311"/>
      <c r="H413" s="2311"/>
      <c r="I413" s="2311"/>
      <c r="J413" s="2311"/>
      <c r="K413" s="2311"/>
      <c r="L413" s="2311"/>
      <c r="M413" s="2311"/>
      <c r="N413" s="2311"/>
      <c r="O413" s="2311"/>
      <c r="P413" s="2311"/>
      <c r="Q413" s="2311"/>
      <c r="AE413" s="597"/>
      <c r="AF413" s="597"/>
    </row>
    <row r="414" spans="1:32" s="175" customFormat="1" ht="12" customHeight="1">
      <c r="A414" s="2311"/>
      <c r="B414" s="2311"/>
      <c r="C414" s="2311"/>
      <c r="D414" s="2311"/>
      <c r="E414" s="2311"/>
      <c r="F414" s="2311"/>
      <c r="G414" s="2311"/>
      <c r="H414" s="2311"/>
      <c r="I414" s="2311"/>
      <c r="J414" s="2311"/>
      <c r="K414" s="2311"/>
      <c r="L414" s="2311"/>
      <c r="M414" s="2311"/>
      <c r="N414" s="2311"/>
      <c r="O414" s="2311"/>
      <c r="P414" s="2311"/>
      <c r="Q414" s="2311"/>
      <c r="AE414" s="597"/>
      <c r="AF414" s="597"/>
    </row>
    <row r="415" spans="1:32" s="175" customFormat="1" ht="12" customHeight="1">
      <c r="A415" s="2311"/>
      <c r="B415" s="2311"/>
      <c r="C415" s="2311"/>
      <c r="D415" s="2311"/>
      <c r="E415" s="2311"/>
      <c r="F415" s="2311"/>
      <c r="G415" s="2311"/>
      <c r="H415" s="2311"/>
      <c r="I415" s="2311"/>
      <c r="J415" s="2311"/>
      <c r="K415" s="2311"/>
      <c r="L415" s="2311"/>
      <c r="M415" s="2311"/>
      <c r="N415" s="2311"/>
      <c r="O415" s="2311"/>
      <c r="P415" s="2311"/>
      <c r="Q415" s="2311"/>
      <c r="AE415" s="597"/>
      <c r="AF415" s="597"/>
    </row>
    <row r="416" spans="1:32" s="175" customFormat="1" ht="12" customHeight="1">
      <c r="A416" s="2311"/>
      <c r="B416" s="2311"/>
      <c r="C416" s="2311"/>
      <c r="D416" s="2311"/>
      <c r="E416" s="2311"/>
      <c r="F416" s="2311"/>
      <c r="G416" s="2311"/>
      <c r="H416" s="2311"/>
      <c r="I416" s="2311"/>
      <c r="J416" s="2311"/>
      <c r="K416" s="2311"/>
      <c r="L416" s="2311"/>
      <c r="M416" s="2311"/>
      <c r="N416" s="2311"/>
      <c r="O416" s="2311"/>
      <c r="P416" s="2311"/>
      <c r="Q416" s="2311"/>
      <c r="AE416" s="597"/>
      <c r="AF416" s="597"/>
    </row>
    <row r="417" spans="1:32" s="175" customFormat="1" ht="12" customHeight="1">
      <c r="A417" s="2311"/>
      <c r="B417" s="2311"/>
      <c r="C417" s="2311"/>
      <c r="D417" s="2311"/>
      <c r="E417" s="2311"/>
      <c r="F417" s="2311"/>
      <c r="G417" s="2311"/>
      <c r="H417" s="2311"/>
      <c r="I417" s="2311"/>
      <c r="J417" s="2311"/>
      <c r="K417" s="2311"/>
      <c r="L417" s="2311"/>
      <c r="M417" s="2311"/>
      <c r="N417" s="2311"/>
      <c r="O417" s="2311"/>
      <c r="P417" s="2311"/>
      <c r="Q417" s="2311"/>
      <c r="AE417" s="597"/>
      <c r="AF417" s="597"/>
    </row>
    <row r="418" spans="1:32" s="175" customFormat="1" ht="12" customHeight="1">
      <c r="A418" s="2311"/>
      <c r="B418" s="2311"/>
      <c r="C418" s="2311"/>
      <c r="D418" s="2311"/>
      <c r="E418" s="2311"/>
      <c r="F418" s="2311"/>
      <c r="G418" s="2311"/>
      <c r="H418" s="2311"/>
      <c r="I418" s="2311"/>
      <c r="J418" s="2311"/>
      <c r="K418" s="2311"/>
      <c r="L418" s="2311"/>
      <c r="M418" s="2311"/>
      <c r="N418" s="2311"/>
      <c r="O418" s="2311"/>
      <c r="P418" s="2311"/>
      <c r="Q418" s="2311"/>
      <c r="AE418" s="597"/>
      <c r="AF418" s="597"/>
    </row>
    <row r="419" spans="1:32" s="175" customFormat="1" ht="12" customHeight="1">
      <c r="A419" s="2311"/>
      <c r="B419" s="2311"/>
      <c r="C419" s="2311"/>
      <c r="D419" s="2311"/>
      <c r="E419" s="2311"/>
      <c r="F419" s="2311"/>
      <c r="G419" s="2311"/>
      <c r="H419" s="2311"/>
      <c r="I419" s="2311"/>
      <c r="J419" s="2311"/>
      <c r="K419" s="2311"/>
      <c r="L419" s="2311"/>
      <c r="M419" s="2311"/>
      <c r="N419" s="2311"/>
      <c r="O419" s="2311"/>
      <c r="P419" s="2311"/>
      <c r="Q419" s="2311"/>
      <c r="AE419" s="597"/>
      <c r="AF419" s="597"/>
    </row>
    <row r="420" spans="1:32" s="175" customFormat="1" ht="12" customHeight="1">
      <c r="A420" s="2311"/>
      <c r="B420" s="2311"/>
      <c r="C420" s="2311"/>
      <c r="D420" s="2311"/>
      <c r="E420" s="2311"/>
      <c r="F420" s="2311"/>
      <c r="G420" s="2311"/>
      <c r="H420" s="2311"/>
      <c r="I420" s="2311"/>
      <c r="J420" s="2311"/>
      <c r="K420" s="2311"/>
      <c r="L420" s="2311"/>
      <c r="M420" s="2311"/>
      <c r="N420" s="2311"/>
      <c r="O420" s="2311"/>
      <c r="P420" s="2311"/>
      <c r="Q420" s="2311"/>
      <c r="AE420" s="597"/>
      <c r="AF420" s="597"/>
    </row>
    <row r="421" spans="1:32" s="175" customFormat="1" ht="12" customHeight="1">
      <c r="A421" s="2311"/>
      <c r="B421" s="2311"/>
      <c r="C421" s="2311"/>
      <c r="D421" s="2311"/>
      <c r="E421" s="2311"/>
      <c r="F421" s="2311"/>
      <c r="G421" s="2311"/>
      <c r="H421" s="2311"/>
      <c r="I421" s="2311"/>
      <c r="J421" s="2311"/>
      <c r="K421" s="2311"/>
      <c r="L421" s="2311"/>
      <c r="M421" s="2311"/>
      <c r="N421" s="2311"/>
      <c r="O421" s="2311"/>
      <c r="P421" s="2311"/>
      <c r="Q421" s="2311"/>
      <c r="AE421" s="597"/>
      <c r="AF421" s="597"/>
    </row>
    <row r="422" spans="1:32" s="175" customFormat="1" ht="12" customHeight="1">
      <c r="A422" s="2311"/>
      <c r="B422" s="2311"/>
      <c r="C422" s="2311"/>
      <c r="D422" s="2311"/>
      <c r="E422" s="2311"/>
      <c r="F422" s="2311"/>
      <c r="G422" s="2311"/>
      <c r="H422" s="2311"/>
      <c r="I422" s="2311"/>
      <c r="J422" s="2311"/>
      <c r="K422" s="2311"/>
      <c r="L422" s="2311"/>
      <c r="M422" s="2311"/>
      <c r="N422" s="2311"/>
      <c r="O422" s="2311"/>
      <c r="P422" s="2311"/>
      <c r="Q422" s="2311"/>
      <c r="AE422" s="597"/>
      <c r="AF422" s="597"/>
    </row>
    <row r="423" spans="1:32" s="175" customFormat="1" ht="12" customHeight="1">
      <c r="A423" s="2312"/>
      <c r="B423" s="2312"/>
      <c r="C423" s="2312"/>
      <c r="D423" s="2312"/>
      <c r="E423" s="2312"/>
      <c r="F423" s="2312"/>
      <c r="G423" s="2312"/>
      <c r="H423" s="2312"/>
      <c r="I423" s="2312"/>
      <c r="J423" s="2312"/>
      <c r="K423" s="2312"/>
      <c r="L423" s="2312"/>
      <c r="M423" s="2312"/>
      <c r="N423" s="2311"/>
      <c r="O423" s="2311"/>
      <c r="P423" s="2311"/>
      <c r="Q423" s="2311"/>
      <c r="AE423" s="597"/>
      <c r="AF423" s="597"/>
    </row>
    <row r="424" spans="1:32" s="175" customFormat="1" ht="12" customHeight="1">
      <c r="A424" s="2312"/>
      <c r="B424" s="2312"/>
      <c r="C424" s="2312"/>
      <c r="D424" s="2312"/>
      <c r="E424" s="2312"/>
      <c r="F424" s="2312"/>
      <c r="G424" s="2312"/>
      <c r="H424" s="2312"/>
      <c r="I424" s="2312"/>
      <c r="J424" s="2312"/>
      <c r="K424" s="2312"/>
      <c r="L424" s="2312"/>
      <c r="M424" s="2312"/>
      <c r="N424" s="2311"/>
      <c r="O424" s="2311"/>
      <c r="P424" s="2311"/>
      <c r="Q424" s="2311"/>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1763</v>
      </c>
      <c r="D427" s="626"/>
      <c r="E427" s="626"/>
      <c r="F427" s="626"/>
      <c r="G427" s="626"/>
      <c r="H427" s="626"/>
      <c r="I427" s="626"/>
      <c r="J427" s="626" t="s">
        <v>1075</v>
      </c>
      <c r="K427" s="626"/>
      <c r="L427" s="625"/>
      <c r="M427" s="625"/>
      <c r="N427" s="541"/>
      <c r="O427" s="2313" t="s">
        <v>3551</v>
      </c>
      <c r="P427" s="557"/>
      <c r="AE427" s="550"/>
      <c r="AF427" s="550"/>
    </row>
    <row r="428" spans="1:32" s="535" customFormat="1" ht="15">
      <c r="A428" s="625"/>
      <c r="B428" s="625"/>
      <c r="C428" s="625" t="s">
        <v>2228</v>
      </c>
      <c r="D428" s="625"/>
      <c r="E428" s="625"/>
      <c r="F428" s="625"/>
      <c r="G428" s="625"/>
      <c r="H428" s="625"/>
      <c r="I428" s="625"/>
      <c r="J428" s="625" t="s">
        <v>1896</v>
      </c>
      <c r="K428" s="625"/>
      <c r="L428" s="625"/>
      <c r="M428" s="625"/>
      <c r="N428" s="541"/>
      <c r="O428" s="2313" t="s">
        <v>3552</v>
      </c>
      <c r="P428" s="557"/>
      <c r="AE428" s="550"/>
      <c r="AF428" s="550"/>
    </row>
    <row r="429" spans="1:32" s="535" customFormat="1" ht="15">
      <c r="A429" s="625"/>
      <c r="B429" s="625"/>
      <c r="C429" s="626" t="s">
        <v>2727</v>
      </c>
      <c r="D429" s="626"/>
      <c r="E429" s="626"/>
      <c r="F429" s="626"/>
      <c r="G429" s="626"/>
      <c r="H429" s="626"/>
      <c r="I429" s="626"/>
      <c r="J429" s="627" t="s">
        <v>1846</v>
      </c>
      <c r="K429" s="626"/>
      <c r="L429" s="625"/>
      <c r="M429" s="625"/>
      <c r="N429" s="541"/>
      <c r="O429" s="2313" t="s">
        <v>3553</v>
      </c>
      <c r="P429" s="557"/>
      <c r="AE429" s="550"/>
      <c r="AF429" s="550"/>
    </row>
    <row r="430" spans="1:32" s="535" customFormat="1" ht="15">
      <c r="A430" s="625"/>
      <c r="B430" s="625"/>
      <c r="C430" s="626" t="s">
        <v>2229</v>
      </c>
      <c r="D430" s="626"/>
      <c r="E430" s="626"/>
      <c r="F430" s="626"/>
      <c r="G430" s="626"/>
      <c r="H430" s="626"/>
      <c r="I430" s="626"/>
      <c r="J430" s="627" t="s">
        <v>242</v>
      </c>
      <c r="K430" s="626"/>
      <c r="L430" s="625"/>
      <c r="M430" s="625"/>
      <c r="N430" s="541"/>
      <c r="O430" s="2313" t="s">
        <v>3554</v>
      </c>
      <c r="P430" s="557"/>
      <c r="AE430" s="550"/>
      <c r="AF430" s="550"/>
    </row>
    <row r="431" spans="1:32" s="535" customFormat="1" ht="15">
      <c r="A431" s="625"/>
      <c r="B431" s="625"/>
      <c r="C431" s="626" t="s">
        <v>2230</v>
      </c>
      <c r="D431" s="626"/>
      <c r="E431" s="626"/>
      <c r="F431" s="626"/>
      <c r="G431" s="626"/>
      <c r="H431" s="626"/>
      <c r="I431" s="626"/>
      <c r="J431" s="625" t="s">
        <v>1258</v>
      </c>
      <c r="K431" s="626"/>
      <c r="L431" s="625"/>
      <c r="M431" s="625"/>
      <c r="N431" s="541"/>
      <c r="O431" s="2313" t="s">
        <v>3555</v>
      </c>
      <c r="P431" s="557"/>
      <c r="AE431" s="550"/>
      <c r="AF431" s="550"/>
    </row>
    <row r="432" spans="1:32" s="535" customFormat="1" ht="15">
      <c r="A432" s="625"/>
      <c r="B432" s="625"/>
      <c r="C432" s="628" t="s">
        <v>2231</v>
      </c>
      <c r="D432" s="626"/>
      <c r="E432" s="626"/>
      <c r="F432" s="626"/>
      <c r="G432" s="626"/>
      <c r="H432" s="626"/>
      <c r="I432" s="626"/>
      <c r="J432" s="629" t="s">
        <v>2243</v>
      </c>
      <c r="K432" s="626"/>
      <c r="L432" s="625"/>
      <c r="M432" s="625"/>
      <c r="N432" s="541"/>
      <c r="O432" s="2313" t="s">
        <v>3556</v>
      </c>
      <c r="P432" s="557"/>
      <c r="AE432" s="550"/>
      <c r="AF432" s="550"/>
    </row>
    <row r="433" spans="1:32" s="535" customFormat="1" ht="15">
      <c r="A433" s="625"/>
      <c r="B433" s="625"/>
      <c r="C433" s="628" t="s">
        <v>2232</v>
      </c>
      <c r="D433" s="626"/>
      <c r="E433" s="626"/>
      <c r="F433" s="626"/>
      <c r="G433" s="626"/>
      <c r="H433" s="626"/>
      <c r="I433" s="626"/>
      <c r="J433" s="627" t="s">
        <v>1775</v>
      </c>
      <c r="K433" s="626"/>
      <c r="L433" s="625"/>
      <c r="M433" s="625"/>
      <c r="N433" s="541"/>
      <c r="O433" s="2313" t="s">
        <v>3557</v>
      </c>
      <c r="P433" s="557"/>
      <c r="AE433" s="550"/>
      <c r="AF433" s="550"/>
    </row>
    <row r="434" spans="1:32" s="535" customFormat="1" ht="15">
      <c r="A434" s="625"/>
      <c r="B434" s="625"/>
      <c r="C434" s="628"/>
      <c r="D434" s="626"/>
      <c r="E434" s="626"/>
      <c r="F434" s="626"/>
      <c r="G434" s="626"/>
      <c r="H434" s="626"/>
      <c r="I434" s="626"/>
      <c r="J434" s="627" t="s">
        <v>1266</v>
      </c>
      <c r="K434" s="626"/>
      <c r="L434" s="625"/>
      <c r="M434" s="625"/>
      <c r="N434" s="541"/>
      <c r="O434" s="2313" t="s">
        <v>3558</v>
      </c>
      <c r="P434" s="557"/>
      <c r="AE434" s="550"/>
      <c r="AF434" s="550"/>
    </row>
    <row r="435" spans="1:32" s="535" customFormat="1" ht="15">
      <c r="A435" s="625"/>
      <c r="B435" s="625"/>
      <c r="C435" s="625" t="s">
        <v>1896</v>
      </c>
      <c r="D435" s="626"/>
      <c r="E435" s="626"/>
      <c r="F435" s="626"/>
      <c r="G435" s="626"/>
      <c r="H435" s="626"/>
      <c r="I435" s="626"/>
      <c r="J435" s="627" t="s">
        <v>1772</v>
      </c>
      <c r="K435" s="626"/>
      <c r="L435" s="625"/>
      <c r="M435" s="625"/>
      <c r="N435" s="541"/>
      <c r="O435" s="2313" t="s">
        <v>3559</v>
      </c>
      <c r="P435" s="557"/>
      <c r="AE435" s="550"/>
      <c r="AF435" s="550"/>
    </row>
    <row r="436" spans="1:32" s="535" customFormat="1" ht="11.25">
      <c r="A436" s="625"/>
      <c r="B436" s="625"/>
      <c r="C436" s="630" t="s">
        <v>1481</v>
      </c>
      <c r="D436" s="626"/>
      <c r="E436" s="626"/>
      <c r="F436" s="626"/>
      <c r="G436" s="626"/>
      <c r="H436" s="626"/>
      <c r="I436" s="626"/>
      <c r="J436" s="627" t="s">
        <v>2244</v>
      </c>
      <c r="K436" s="626"/>
      <c r="L436" s="625"/>
      <c r="M436" s="625"/>
      <c r="N436" s="541"/>
      <c r="O436" s="557"/>
      <c r="P436" s="557"/>
      <c r="AE436" s="550"/>
      <c r="AF436" s="550"/>
    </row>
    <row r="437" spans="1:32" s="535" customFormat="1" ht="11.25">
      <c r="A437" s="625"/>
      <c r="B437" s="625"/>
      <c r="C437" s="630" t="s">
        <v>1482</v>
      </c>
      <c r="D437" s="626"/>
      <c r="E437" s="626"/>
      <c r="F437" s="626"/>
      <c r="G437" s="626"/>
      <c r="H437" s="626"/>
      <c r="I437" s="626"/>
      <c r="J437" s="627" t="s">
        <v>1765</v>
      </c>
      <c r="K437" s="626"/>
      <c r="L437" s="625"/>
      <c r="M437" s="625"/>
      <c r="N437" s="541"/>
      <c r="O437" s="557"/>
      <c r="P437" s="557"/>
      <c r="AE437" s="550"/>
      <c r="AF437" s="550"/>
    </row>
    <row r="438" spans="1:32" s="535" customFormat="1" ht="11.25">
      <c r="A438" s="625"/>
      <c r="B438" s="625"/>
      <c r="C438" s="631" t="s">
        <v>2272</v>
      </c>
      <c r="D438" s="626"/>
      <c r="E438" s="626"/>
      <c r="F438" s="626"/>
      <c r="G438" s="626"/>
      <c r="H438" s="626"/>
      <c r="I438" s="626"/>
      <c r="J438" s="627" t="s">
        <v>1267</v>
      </c>
      <c r="K438" s="626"/>
      <c r="L438" s="625"/>
      <c r="M438" s="625"/>
      <c r="N438" s="541"/>
      <c r="O438" s="557"/>
      <c r="P438" s="557"/>
      <c r="AE438" s="550"/>
      <c r="AF438" s="550"/>
    </row>
    <row r="439" spans="1:32" s="535" customFormat="1" ht="11.25">
      <c r="A439" s="625"/>
      <c r="B439" s="625"/>
      <c r="C439" s="631" t="s">
        <v>1478</v>
      </c>
      <c r="D439" s="626"/>
      <c r="E439" s="626"/>
      <c r="F439" s="626"/>
      <c r="G439" s="626"/>
      <c r="H439" s="626"/>
      <c r="I439" s="626"/>
      <c r="J439" s="627" t="s">
        <v>630</v>
      </c>
      <c r="K439" s="626"/>
      <c r="L439" s="625"/>
      <c r="M439" s="625"/>
      <c r="N439" s="541"/>
      <c r="O439" s="557"/>
      <c r="P439" s="557"/>
      <c r="AE439" s="550"/>
      <c r="AF439" s="550"/>
    </row>
    <row r="440" spans="1:32" s="535" customFormat="1" ht="11.25">
      <c r="A440" s="625"/>
      <c r="B440" s="625"/>
      <c r="C440" s="631" t="s">
        <v>1479</v>
      </c>
      <c r="D440" s="626"/>
      <c r="E440" s="626"/>
      <c r="F440" s="626"/>
      <c r="G440" s="626"/>
      <c r="H440" s="626"/>
      <c r="I440" s="626"/>
      <c r="J440" s="627" t="s">
        <v>1771</v>
      </c>
      <c r="K440" s="626"/>
      <c r="L440" s="625"/>
      <c r="M440" s="625"/>
      <c r="N440" s="541"/>
      <c r="O440" s="557"/>
      <c r="P440" s="557"/>
      <c r="AE440" s="550"/>
      <c r="AF440" s="550"/>
    </row>
    <row r="441" spans="1:32" s="535" customFormat="1" ht="11.25">
      <c r="A441" s="625"/>
      <c r="B441" s="625"/>
      <c r="C441" s="630" t="s">
        <v>2267</v>
      </c>
      <c r="D441" s="626"/>
      <c r="E441" s="626"/>
      <c r="F441" s="626"/>
      <c r="G441" s="626"/>
      <c r="H441" s="626"/>
      <c r="I441" s="626"/>
      <c r="J441" s="627" t="s">
        <v>1260</v>
      </c>
      <c r="K441" s="626"/>
      <c r="L441" s="625"/>
      <c r="M441" s="625"/>
      <c r="N441" s="541"/>
      <c r="O441" s="557"/>
      <c r="P441" s="557"/>
      <c r="AE441" s="550"/>
      <c r="AF441" s="550"/>
    </row>
    <row r="442" spans="1:32" s="535" customFormat="1" ht="11.25">
      <c r="A442" s="625"/>
      <c r="B442" s="625"/>
      <c r="C442" s="630" t="s">
        <v>2268</v>
      </c>
      <c r="D442" s="626"/>
      <c r="E442" s="626"/>
      <c r="F442" s="626"/>
      <c r="G442" s="626"/>
      <c r="H442" s="626"/>
      <c r="I442" s="626"/>
      <c r="J442" s="627" t="s">
        <v>1259</v>
      </c>
      <c r="K442" s="625"/>
      <c r="L442" s="625"/>
      <c r="M442" s="625"/>
      <c r="N442" s="541"/>
      <c r="O442" s="557"/>
      <c r="P442" s="557"/>
      <c r="AE442" s="550"/>
      <c r="AF442" s="550"/>
    </row>
    <row r="443" spans="1:32" s="535" customFormat="1" ht="11.25">
      <c r="A443" s="625"/>
      <c r="B443" s="625"/>
      <c r="C443" s="630" t="s">
        <v>2269</v>
      </c>
      <c r="D443" s="625"/>
      <c r="E443" s="625"/>
      <c r="F443" s="625"/>
      <c r="G443" s="625"/>
      <c r="H443" s="625"/>
      <c r="I443" s="625"/>
      <c r="J443" s="627" t="s">
        <v>1847</v>
      </c>
      <c r="K443" s="625"/>
      <c r="L443" s="625"/>
      <c r="M443" s="625"/>
      <c r="N443" s="541"/>
      <c r="O443" s="557"/>
      <c r="P443" s="557"/>
      <c r="AE443" s="550"/>
      <c r="AF443" s="550"/>
    </row>
    <row r="444" spans="1:32" s="535" customFormat="1" ht="11.25">
      <c r="A444" s="625"/>
      <c r="B444" s="625"/>
      <c r="C444" s="630" t="s">
        <v>2270</v>
      </c>
      <c r="D444" s="625"/>
      <c r="E444" s="625"/>
      <c r="F444" s="625"/>
      <c r="G444" s="625"/>
      <c r="H444" s="625"/>
      <c r="I444" s="625"/>
      <c r="J444" s="627" t="s">
        <v>1774</v>
      </c>
      <c r="K444" s="625"/>
      <c r="L444" s="625"/>
      <c r="M444" s="625"/>
      <c r="N444" s="541"/>
      <c r="O444" s="557"/>
      <c r="P444" s="557"/>
      <c r="AE444" s="550"/>
      <c r="AF444" s="550"/>
    </row>
    <row r="445" spans="1:32" s="535" customFormat="1" ht="11.25">
      <c r="A445" s="625"/>
      <c r="B445" s="625"/>
      <c r="C445" s="630" t="s">
        <v>2271</v>
      </c>
      <c r="D445" s="625"/>
      <c r="E445" s="625"/>
      <c r="F445" s="625"/>
      <c r="G445" s="625"/>
      <c r="H445" s="625"/>
      <c r="I445" s="625"/>
      <c r="J445" s="627" t="s">
        <v>1766</v>
      </c>
      <c r="K445" s="625"/>
      <c r="L445" s="625"/>
      <c r="M445" s="625"/>
      <c r="N445" s="541"/>
      <c r="O445" s="557"/>
      <c r="P445" s="557"/>
      <c r="AE445" s="550"/>
      <c r="AF445" s="550"/>
    </row>
    <row r="446" spans="1:32" s="535" customFormat="1" ht="11.25">
      <c r="A446" s="625"/>
      <c r="B446" s="625"/>
      <c r="C446" s="630" t="s">
        <v>1480</v>
      </c>
      <c r="D446" s="625"/>
      <c r="E446" s="625"/>
      <c r="F446" s="625"/>
      <c r="G446" s="625"/>
      <c r="H446" s="625"/>
      <c r="I446" s="625"/>
      <c r="J446" s="627" t="s">
        <v>2242</v>
      </c>
      <c r="K446" s="625"/>
      <c r="L446" s="625"/>
      <c r="M446" s="625"/>
      <c r="N446" s="541"/>
      <c r="O446" s="557"/>
      <c r="P446" s="557"/>
      <c r="AE446" s="550"/>
      <c r="AF446" s="550"/>
    </row>
    <row r="447" spans="1:32" s="535" customFormat="1" ht="11.25">
      <c r="A447" s="625"/>
      <c r="B447" s="625"/>
      <c r="C447" s="630" t="s">
        <v>2431</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1698</v>
      </c>
      <c r="D449" s="626"/>
      <c r="E449" s="626"/>
      <c r="F449" s="626"/>
      <c r="G449" s="626"/>
      <c r="H449" s="626"/>
      <c r="I449" s="626"/>
      <c r="J449" s="626"/>
      <c r="K449" s="626"/>
      <c r="L449" s="626"/>
      <c r="M449" s="626"/>
      <c r="AE449" s="509"/>
      <c r="AF449" s="509"/>
    </row>
    <row r="450" spans="1:32" s="65" customFormat="1" ht="11.25">
      <c r="A450" s="626"/>
      <c r="B450" s="626"/>
      <c r="C450" s="626" t="s">
        <v>1896</v>
      </c>
      <c r="D450" s="626"/>
      <c r="E450" s="626"/>
      <c r="F450" s="626"/>
      <c r="G450" s="626"/>
      <c r="H450" s="626"/>
      <c r="I450" s="626"/>
      <c r="J450" s="626"/>
      <c r="K450" s="626"/>
      <c r="L450" s="626"/>
      <c r="M450" s="626"/>
      <c r="AE450" s="509"/>
      <c r="AF450" s="509"/>
    </row>
    <row r="451" spans="1:32" s="65" customFormat="1" ht="11.25">
      <c r="A451" s="626"/>
      <c r="B451" s="626"/>
      <c r="C451" s="626" t="s">
        <v>2228</v>
      </c>
      <c r="D451" s="626"/>
      <c r="E451" s="625"/>
      <c r="F451" s="625"/>
      <c r="G451" s="625"/>
      <c r="H451" s="625"/>
      <c r="I451" s="625"/>
      <c r="J451" s="625"/>
      <c r="K451" s="625"/>
      <c r="L451" s="625"/>
      <c r="M451" s="625"/>
      <c r="AE451" s="509"/>
      <c r="AF451" s="509"/>
    </row>
    <row r="452" spans="1:32" s="65" customFormat="1" ht="11.25">
      <c r="A452" s="626"/>
      <c r="B452" s="626"/>
      <c r="C452" s="626" t="s">
        <v>2727</v>
      </c>
      <c r="D452" s="625"/>
      <c r="E452" s="625"/>
      <c r="F452" s="625"/>
      <c r="G452" s="625"/>
      <c r="H452" s="626"/>
      <c r="I452" s="625"/>
      <c r="J452" s="625"/>
      <c r="K452" s="625"/>
      <c r="L452" s="625"/>
      <c r="M452" s="625"/>
      <c r="AE452" s="509"/>
      <c r="AF452" s="509"/>
    </row>
    <row r="453" spans="1:32" s="65" customFormat="1" ht="11.25">
      <c r="A453" s="626"/>
      <c r="B453" s="626"/>
      <c r="C453" s="626" t="s">
        <v>2229</v>
      </c>
      <c r="D453" s="625"/>
      <c r="E453" s="625"/>
      <c r="F453" s="625"/>
      <c r="G453" s="625"/>
      <c r="H453" s="625"/>
      <c r="I453" s="625"/>
      <c r="J453" s="625"/>
      <c r="K453" s="625"/>
      <c r="L453" s="625"/>
      <c r="M453" s="625"/>
      <c r="AE453" s="509"/>
      <c r="AF453" s="509"/>
    </row>
    <row r="454" spans="1:32" s="65" customFormat="1" ht="11.25">
      <c r="A454" s="626"/>
      <c r="B454" s="626"/>
      <c r="C454" s="626" t="s">
        <v>1764</v>
      </c>
      <c r="D454" s="625"/>
      <c r="E454" s="625"/>
      <c r="F454" s="625"/>
      <c r="G454" s="625"/>
      <c r="H454" s="626"/>
      <c r="I454" s="625"/>
      <c r="J454" s="625"/>
      <c r="K454" s="625"/>
      <c r="L454" s="625"/>
      <c r="M454" s="625"/>
      <c r="AE454" s="509"/>
      <c r="AF454" s="509"/>
    </row>
    <row r="455" spans="1:32" s="65" customFormat="1" ht="11.25">
      <c r="A455" s="626"/>
      <c r="B455" s="626"/>
      <c r="C455" s="628" t="s">
        <v>2148</v>
      </c>
      <c r="D455" s="625"/>
      <c r="E455" s="625"/>
      <c r="F455" s="625"/>
      <c r="G455" s="625"/>
      <c r="H455" s="626"/>
      <c r="I455" s="625"/>
      <c r="J455" s="625"/>
      <c r="K455" s="625"/>
      <c r="L455" s="625"/>
      <c r="M455" s="625"/>
      <c r="AE455" s="509"/>
      <c r="AF455" s="509"/>
    </row>
    <row r="456" spans="1:32" s="65" customFormat="1" ht="11.25">
      <c r="A456" s="626"/>
      <c r="B456" s="626"/>
      <c r="C456" s="626" t="s">
        <v>242</v>
      </c>
      <c r="D456" s="625"/>
      <c r="E456" s="625"/>
      <c r="F456" s="625"/>
      <c r="G456" s="625"/>
      <c r="H456" s="626"/>
      <c r="I456" s="625"/>
      <c r="J456" s="626"/>
      <c r="K456" s="625"/>
      <c r="L456" s="625"/>
      <c r="M456" s="625"/>
      <c r="AE456" s="509"/>
      <c r="AF456" s="509"/>
    </row>
    <row r="457" spans="1:32" s="65" customFormat="1" ht="11.25">
      <c r="A457" s="626"/>
      <c r="B457" s="626"/>
      <c r="C457" s="626" t="s">
        <v>1765</v>
      </c>
      <c r="D457" s="625"/>
      <c r="E457" s="625"/>
      <c r="F457" s="625"/>
      <c r="G457" s="625"/>
      <c r="H457" s="626"/>
      <c r="I457" s="625"/>
      <c r="J457" s="626"/>
      <c r="K457" s="625"/>
      <c r="L457" s="625"/>
      <c r="M457" s="625"/>
      <c r="AE457" s="509"/>
      <c r="AF457" s="509"/>
    </row>
    <row r="458" spans="1:32" s="65" customFormat="1" ht="11.25">
      <c r="A458" s="626"/>
      <c r="B458" s="626"/>
      <c r="C458" s="626" t="s">
        <v>1766</v>
      </c>
      <c r="D458" s="625"/>
      <c r="E458" s="625"/>
      <c r="F458" s="625"/>
      <c r="G458" s="625"/>
      <c r="H458" s="626"/>
      <c r="I458" s="625"/>
      <c r="J458" s="626"/>
      <c r="K458" s="625"/>
      <c r="L458" s="625"/>
      <c r="M458" s="625"/>
      <c r="AE458" s="509"/>
      <c r="AF458" s="509"/>
    </row>
    <row r="459" spans="1:32" s="65" customFormat="1" ht="11.25">
      <c r="A459" s="626"/>
      <c r="B459" s="626"/>
      <c r="C459" s="626" t="s">
        <v>2674</v>
      </c>
      <c r="D459" s="625"/>
      <c r="E459" s="625"/>
      <c r="F459" s="625"/>
      <c r="G459" s="625"/>
      <c r="H459" s="625"/>
      <c r="I459" s="625"/>
      <c r="J459" s="625"/>
      <c r="K459" s="625"/>
      <c r="L459" s="625"/>
      <c r="M459" s="625"/>
      <c r="AE459" s="509"/>
      <c r="AF459" s="509"/>
    </row>
    <row r="460" spans="1:32" s="65" customFormat="1" ht="11.25">
      <c r="A460" s="626"/>
      <c r="B460" s="626"/>
      <c r="C460" s="626" t="s">
        <v>1699</v>
      </c>
      <c r="D460" s="625"/>
      <c r="E460" s="625"/>
      <c r="F460" s="625"/>
      <c r="G460" s="625"/>
      <c r="H460" s="625"/>
      <c r="I460" s="625"/>
      <c r="J460" s="625"/>
      <c r="K460" s="625"/>
      <c r="L460" s="625"/>
      <c r="M460" s="625"/>
      <c r="AE460" s="509"/>
      <c r="AF460" s="509"/>
    </row>
    <row r="461" spans="1:32" s="65" customFormat="1" ht="11.25">
      <c r="A461" s="626"/>
      <c r="B461" s="626"/>
      <c r="C461" s="626" t="s">
        <v>1768</v>
      </c>
      <c r="D461" s="625"/>
      <c r="E461" s="625"/>
      <c r="F461" s="625"/>
      <c r="G461" s="625"/>
      <c r="H461" s="625"/>
      <c r="I461" s="625"/>
      <c r="J461" s="625"/>
      <c r="K461" s="625"/>
      <c r="L461" s="625"/>
      <c r="M461" s="625"/>
      <c r="AE461" s="509"/>
      <c r="AF461" s="509"/>
    </row>
    <row r="462" spans="1:32" s="65" customFormat="1" ht="11.25">
      <c r="A462" s="626"/>
      <c r="B462" s="626"/>
      <c r="C462" s="626" t="s">
        <v>2677</v>
      </c>
      <c r="D462" s="625"/>
      <c r="E462" s="625"/>
      <c r="F462" s="625"/>
      <c r="G462" s="625"/>
      <c r="H462" s="625"/>
      <c r="I462" s="625"/>
      <c r="J462" s="625"/>
      <c r="K462" s="625"/>
      <c r="L462" s="625"/>
      <c r="M462" s="625"/>
      <c r="AE462" s="509"/>
      <c r="AF462" s="509"/>
    </row>
    <row r="463" spans="1:32" s="65" customFormat="1" ht="11.25">
      <c r="A463" s="626"/>
      <c r="B463" s="626"/>
      <c r="C463" s="626" t="s">
        <v>1770</v>
      </c>
      <c r="D463" s="625"/>
      <c r="E463" s="625"/>
      <c r="F463" s="625"/>
      <c r="G463" s="625"/>
      <c r="H463" s="625"/>
      <c r="I463" s="625"/>
      <c r="J463" s="625"/>
      <c r="K463" s="625"/>
      <c r="L463" s="625"/>
      <c r="M463" s="625"/>
      <c r="N463" s="65" t="s">
        <v>2675</v>
      </c>
      <c r="AE463" s="509"/>
      <c r="AF463" s="509"/>
    </row>
    <row r="464" spans="1:32" s="65" customFormat="1" ht="11.25">
      <c r="A464" s="626"/>
      <c r="B464" s="626"/>
      <c r="C464" s="626" t="s">
        <v>1771</v>
      </c>
      <c r="D464" s="625"/>
      <c r="E464" s="625"/>
      <c r="F464" s="625"/>
      <c r="G464" s="625"/>
      <c r="H464" s="625"/>
      <c r="I464" s="625"/>
      <c r="J464" s="625"/>
      <c r="K464" s="625"/>
      <c r="L464" s="625"/>
      <c r="M464" s="625"/>
      <c r="AE464" s="509"/>
      <c r="AF464" s="509"/>
    </row>
    <row r="465" spans="1:32" s="65" customFormat="1" ht="11.25">
      <c r="A465" s="626"/>
      <c r="B465" s="626"/>
      <c r="C465" s="626" t="s">
        <v>1772</v>
      </c>
      <c r="D465" s="625"/>
      <c r="E465" s="625"/>
      <c r="F465" s="625"/>
      <c r="G465" s="625"/>
      <c r="H465" s="625"/>
      <c r="I465" s="625"/>
      <c r="J465" s="625"/>
      <c r="K465" s="625"/>
      <c r="L465" s="625"/>
      <c r="M465" s="625"/>
      <c r="AE465" s="509"/>
      <c r="AF465" s="509"/>
    </row>
    <row r="466" spans="1:32" s="65" customFormat="1" ht="11.25">
      <c r="A466" s="626"/>
      <c r="B466" s="626"/>
      <c r="C466" s="626" t="s">
        <v>630</v>
      </c>
      <c r="D466" s="625"/>
      <c r="E466" s="625"/>
      <c r="F466" s="625"/>
      <c r="G466" s="625"/>
      <c r="H466" s="625"/>
      <c r="I466" s="625"/>
      <c r="J466" s="625"/>
      <c r="K466" s="625"/>
      <c r="L466" s="625"/>
      <c r="M466" s="625"/>
      <c r="AE466" s="509"/>
      <c r="AF466" s="509"/>
    </row>
    <row r="467" spans="1:32" s="65" customFormat="1" ht="11.25">
      <c r="A467" s="626"/>
      <c r="B467" s="626"/>
      <c r="C467" s="626" t="s">
        <v>1773</v>
      </c>
      <c r="D467" s="625"/>
      <c r="E467" s="625"/>
      <c r="F467" s="625"/>
      <c r="G467" s="625"/>
      <c r="H467" s="625"/>
      <c r="I467" s="625"/>
      <c r="J467" s="625"/>
      <c r="K467" s="625"/>
      <c r="L467" s="625"/>
      <c r="M467" s="625"/>
      <c r="AE467" s="509"/>
      <c r="AF467" s="509"/>
    </row>
    <row r="468" spans="1:32" s="65" customFormat="1" ht="11.25">
      <c r="A468" s="626"/>
      <c r="B468" s="626"/>
      <c r="C468" s="626" t="s">
        <v>2009</v>
      </c>
      <c r="D468" s="625"/>
      <c r="E468" s="625"/>
      <c r="F468" s="625"/>
      <c r="G468" s="625"/>
      <c r="H468" s="625"/>
      <c r="I468" s="625"/>
      <c r="J468" s="625"/>
      <c r="K468" s="625"/>
      <c r="L468" s="625"/>
      <c r="M468" s="625"/>
      <c r="AE468" s="509"/>
      <c r="AF468" s="509"/>
    </row>
    <row r="469" spans="1:32" s="65" customFormat="1" ht="11.25">
      <c r="A469" s="626"/>
      <c r="B469" s="626"/>
      <c r="C469" s="626" t="s">
        <v>241</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1914</v>
      </c>
      <c r="D471" s="626"/>
      <c r="E471" s="626"/>
      <c r="F471" s="626"/>
      <c r="G471" s="626"/>
      <c r="H471" s="626"/>
      <c r="I471" s="626"/>
      <c r="J471" s="626"/>
      <c r="K471" s="626"/>
      <c r="L471" s="626"/>
      <c r="M471" s="626"/>
      <c r="AE471" s="509"/>
      <c r="AF471" s="509"/>
    </row>
    <row r="472" spans="1:32" s="65" customFormat="1" ht="11.25">
      <c r="A472" s="626"/>
      <c r="B472" s="626"/>
      <c r="C472" s="626" t="s">
        <v>984</v>
      </c>
      <c r="D472" s="626"/>
      <c r="E472" s="626"/>
      <c r="F472" s="626"/>
      <c r="G472" s="626"/>
      <c r="H472" s="626"/>
      <c r="I472" s="626"/>
      <c r="J472" s="626"/>
      <c r="K472" s="626"/>
      <c r="L472" s="626"/>
      <c r="M472" s="626"/>
      <c r="AE472" s="509"/>
      <c r="AF472" s="509"/>
    </row>
    <row r="473" spans="1:32" s="65" customFormat="1" ht="11.25">
      <c r="A473" s="626"/>
      <c r="B473" s="626"/>
      <c r="C473" s="630" t="s">
        <v>1741</v>
      </c>
      <c r="D473" s="626"/>
      <c r="E473" s="626"/>
      <c r="F473" s="626"/>
      <c r="G473" s="626"/>
      <c r="H473" s="626"/>
      <c r="I473" s="626"/>
      <c r="J473" s="626"/>
      <c r="K473" s="626"/>
      <c r="L473" s="626"/>
      <c r="M473" s="626"/>
      <c r="AE473" s="509"/>
      <c r="AF473" s="509"/>
    </row>
    <row r="474" spans="1:32" s="65" customFormat="1" ht="11.25">
      <c r="A474" s="626"/>
      <c r="B474" s="626"/>
      <c r="C474" s="630" t="s">
        <v>770</v>
      </c>
      <c r="D474" s="626"/>
      <c r="E474" s="626"/>
      <c r="F474" s="626"/>
      <c r="G474" s="626"/>
      <c r="H474" s="626"/>
      <c r="I474" s="626"/>
      <c r="J474" s="626"/>
      <c r="K474" s="626"/>
      <c r="L474" s="630"/>
      <c r="M474" s="626"/>
      <c r="AE474" s="509"/>
      <c r="AF474" s="509"/>
    </row>
    <row r="475" spans="1:32" s="65" customFormat="1" ht="11.25">
      <c r="A475" s="626"/>
      <c r="B475" s="626"/>
      <c r="C475" s="630" t="s">
        <v>771</v>
      </c>
      <c r="D475" s="626"/>
      <c r="E475" s="626"/>
      <c r="F475" s="626"/>
      <c r="G475" s="626"/>
      <c r="H475" s="626"/>
      <c r="I475" s="626"/>
      <c r="J475" s="626"/>
      <c r="K475" s="626"/>
      <c r="L475" s="630"/>
      <c r="M475" s="626"/>
      <c r="AE475" s="509"/>
      <c r="AF475" s="509"/>
    </row>
    <row r="476" spans="1:32" s="65" customFormat="1" ht="11.25">
      <c r="A476" s="626"/>
      <c r="B476" s="626"/>
      <c r="C476" s="630" t="s">
        <v>2295</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2014</v>
      </c>
      <c r="D479" s="626"/>
      <c r="E479" s="626"/>
      <c r="F479" s="626"/>
      <c r="G479" s="626"/>
      <c r="H479" s="626"/>
      <c r="I479" s="626"/>
      <c r="J479" s="626"/>
      <c r="K479" s="626"/>
      <c r="L479" s="626"/>
      <c r="M479" s="626"/>
      <c r="AE479" s="509"/>
      <c r="AF479" s="509"/>
    </row>
    <row r="480" spans="1:32" s="65" customFormat="1" ht="11.25">
      <c r="A480" s="626"/>
      <c r="B480" s="626"/>
      <c r="C480" s="630" t="s">
        <v>1004</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2877</v>
      </c>
      <c r="D484" s="626"/>
      <c r="E484" s="626"/>
      <c r="F484" s="626"/>
      <c r="G484" s="626"/>
      <c r="H484" s="626"/>
      <c r="I484" s="626"/>
      <c r="J484" s="626"/>
      <c r="K484" s="626"/>
      <c r="L484" s="626"/>
      <c r="M484" s="626"/>
      <c r="AE484" s="509"/>
      <c r="AF484" s="509"/>
    </row>
    <row r="485" spans="1:32" s="65" customFormat="1" ht="11.25">
      <c r="A485" s="626"/>
      <c r="B485" s="626"/>
      <c r="C485" s="630" t="s">
        <v>2147</v>
      </c>
      <c r="D485" s="626"/>
      <c r="E485" s="626"/>
      <c r="F485" s="626"/>
      <c r="G485" s="626"/>
      <c r="H485" s="626"/>
      <c r="I485" s="626"/>
      <c r="J485" s="626"/>
      <c r="K485" s="626"/>
      <c r="L485" s="630"/>
      <c r="M485" s="626"/>
      <c r="AE485" s="509"/>
      <c r="AF485" s="509"/>
    </row>
    <row r="486" spans="1:32" s="65" customFormat="1" ht="11.25">
      <c r="A486" s="626"/>
      <c r="B486" s="626"/>
      <c r="C486" s="565" t="s">
        <v>2878</v>
      </c>
      <c r="D486" s="626"/>
      <c r="E486" s="626"/>
      <c r="F486" s="626"/>
      <c r="G486" s="626"/>
      <c r="H486" s="626"/>
      <c r="I486" s="626"/>
      <c r="J486" s="626"/>
      <c r="K486" s="626"/>
      <c r="L486" s="630"/>
      <c r="M486" s="626"/>
      <c r="AE486" s="509"/>
      <c r="AF486" s="509"/>
    </row>
    <row r="487" spans="1:32" s="65" customFormat="1" ht="11.25">
      <c r="A487" s="626"/>
      <c r="B487" s="626"/>
      <c r="C487" s="565" t="s">
        <v>1471</v>
      </c>
      <c r="D487" s="626"/>
      <c r="E487" s="626"/>
      <c r="F487" s="626"/>
      <c r="G487" s="626"/>
      <c r="H487" s="626"/>
      <c r="I487" s="626"/>
      <c r="J487" s="626"/>
      <c r="K487" s="626"/>
      <c r="L487" s="630"/>
      <c r="M487" s="626"/>
      <c r="AE487" s="509"/>
      <c r="AF487" s="509"/>
    </row>
    <row r="488" spans="1:32" s="65" customFormat="1" ht="11.25">
      <c r="A488" s="626"/>
      <c r="B488" s="626"/>
      <c r="C488" s="565" t="s">
        <v>1697</v>
      </c>
      <c r="D488" s="626"/>
      <c r="E488" s="626"/>
      <c r="F488" s="626"/>
      <c r="G488" s="626"/>
      <c r="H488" s="626"/>
      <c r="I488" s="626"/>
      <c r="J488" s="626"/>
      <c r="K488" s="633" t="s">
        <v>486</v>
      </c>
      <c r="L488" s="630"/>
      <c r="M488" s="626"/>
      <c r="AE488" s="509"/>
      <c r="AF488" s="509"/>
    </row>
    <row r="489" spans="1:32" s="65" customFormat="1" ht="11.25">
      <c r="A489" s="626"/>
      <c r="B489" s="626"/>
      <c r="C489" s="565" t="s">
        <v>2879</v>
      </c>
      <c r="D489" s="626"/>
      <c r="E489" s="626"/>
      <c r="F489" s="626"/>
      <c r="G489" s="626"/>
      <c r="H489" s="626"/>
      <c r="I489" s="626"/>
      <c r="J489" s="626"/>
      <c r="K489" s="626" t="s">
        <v>1149</v>
      </c>
      <c r="L489" s="630"/>
      <c r="M489" s="626"/>
      <c r="AE489" s="509"/>
      <c r="AF489" s="509"/>
    </row>
    <row r="490" spans="1:32" s="65" customFormat="1" ht="11.25">
      <c r="A490" s="626"/>
      <c r="B490" s="626"/>
      <c r="C490" s="565" t="s">
        <v>2880</v>
      </c>
      <c r="D490" s="626"/>
      <c r="E490" s="626"/>
      <c r="F490" s="626"/>
      <c r="G490" s="626"/>
      <c r="H490" s="626"/>
      <c r="I490" s="626"/>
      <c r="J490" s="626"/>
      <c r="K490" s="626" t="s">
        <v>2848</v>
      </c>
      <c r="L490" s="626"/>
      <c r="M490" s="626"/>
      <c r="AE490" s="509"/>
      <c r="AF490" s="509"/>
    </row>
    <row r="491" spans="1:32" s="65" customFormat="1" ht="11.25">
      <c r="A491" s="626"/>
      <c r="B491" s="626"/>
      <c r="C491" s="630" t="s">
        <v>1282</v>
      </c>
      <c r="D491" s="626"/>
      <c r="E491" s="626"/>
      <c r="F491" s="626"/>
      <c r="G491" s="626"/>
      <c r="H491" s="626"/>
      <c r="I491" s="626"/>
      <c r="J491" s="626"/>
      <c r="K491" s="626" t="s">
        <v>2849</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269</v>
      </c>
      <c r="D493" s="626"/>
      <c r="E493" s="626"/>
      <c r="F493" s="626"/>
      <c r="G493" s="626"/>
      <c r="H493" s="626"/>
      <c r="I493" s="626"/>
      <c r="J493" s="626"/>
      <c r="K493" s="633" t="s">
        <v>2390</v>
      </c>
      <c r="L493" s="626"/>
      <c r="M493" s="626"/>
      <c r="AE493" s="509"/>
      <c r="AF493" s="509"/>
    </row>
    <row r="494" spans="1:32" s="65" customFormat="1" ht="11.25">
      <c r="A494" s="626"/>
      <c r="B494" s="626"/>
      <c r="C494" s="626" t="s">
        <v>1150</v>
      </c>
      <c r="D494" s="626"/>
      <c r="E494" s="626"/>
      <c r="F494" s="626"/>
      <c r="G494" s="626"/>
      <c r="H494" s="626"/>
      <c r="I494" s="626"/>
      <c r="J494" s="626"/>
      <c r="K494" s="626" t="s">
        <v>2477</v>
      </c>
      <c r="L494" s="626"/>
      <c r="M494" s="626"/>
      <c r="AE494" s="509"/>
      <c r="AF494" s="509"/>
    </row>
    <row r="495" spans="1:32" s="65" customFormat="1" ht="11.25">
      <c r="A495" s="626"/>
      <c r="B495" s="626"/>
      <c r="C495" s="626" t="s">
        <v>178</v>
      </c>
      <c r="D495" s="626"/>
      <c r="E495" s="626"/>
      <c r="F495" s="626"/>
      <c r="G495" s="626"/>
      <c r="H495" s="626"/>
      <c r="I495" s="626"/>
      <c r="J495" s="626"/>
      <c r="K495" s="626" t="s">
        <v>1540</v>
      </c>
      <c r="L495" s="626"/>
      <c r="M495" s="626"/>
      <c r="AE495" s="509"/>
      <c r="AF495" s="509"/>
    </row>
    <row r="496" spans="1:32" s="65" customFormat="1" ht="11.25">
      <c r="A496" s="626"/>
      <c r="B496" s="626"/>
      <c r="C496" s="626" t="s">
        <v>1633</v>
      </c>
      <c r="D496" s="626"/>
      <c r="E496" s="626"/>
      <c r="F496" s="626"/>
      <c r="G496" s="626"/>
      <c r="H496" s="626"/>
      <c r="I496" s="626"/>
      <c r="J496" s="626"/>
      <c r="K496" s="626" t="s">
        <v>1201</v>
      </c>
      <c r="L496" s="626"/>
      <c r="M496" s="626"/>
      <c r="AE496" s="509"/>
      <c r="AF496" s="509"/>
    </row>
    <row r="497" spans="1:32" s="65" customFormat="1" ht="11.25">
      <c r="A497" s="626"/>
      <c r="B497" s="626"/>
      <c r="C497" s="626" t="s">
        <v>2257</v>
      </c>
      <c r="D497" s="626"/>
      <c r="E497" s="626"/>
      <c r="F497" s="626"/>
      <c r="G497" s="626"/>
      <c r="H497" s="626"/>
      <c r="I497" s="626"/>
      <c r="J497" s="626"/>
      <c r="K497" s="626" t="s">
        <v>1200</v>
      </c>
      <c r="L497" s="626"/>
      <c r="M497" s="626"/>
      <c r="AE497" s="509"/>
      <c r="AF497" s="509"/>
    </row>
    <row r="498" spans="1:32" s="65" customFormat="1" ht="11.25">
      <c r="A498" s="626"/>
      <c r="B498" s="626"/>
      <c r="C498" s="626" t="s">
        <v>177</v>
      </c>
      <c r="D498" s="626"/>
      <c r="E498" s="626"/>
      <c r="F498" s="626"/>
      <c r="G498" s="626"/>
      <c r="H498" s="626"/>
      <c r="I498" s="626"/>
      <c r="J498" s="626"/>
      <c r="K498" s="626" t="s">
        <v>2987</v>
      </c>
      <c r="L498" s="626"/>
      <c r="M498" s="626"/>
      <c r="AE498" s="509"/>
      <c r="AF498" s="509"/>
    </row>
    <row r="499" spans="1:32" s="65" customFormat="1" ht="11.25">
      <c r="A499" s="626"/>
      <c r="B499" s="626"/>
      <c r="C499" s="626"/>
      <c r="D499" s="626"/>
      <c r="E499" s="626"/>
      <c r="F499" s="626"/>
      <c r="G499" s="626"/>
      <c r="H499" s="626"/>
      <c r="I499" s="626"/>
      <c r="J499" s="626"/>
      <c r="K499" s="633" t="s">
        <v>2083</v>
      </c>
      <c r="L499" s="626"/>
      <c r="M499" s="626"/>
      <c r="AE499" s="509"/>
      <c r="AF499" s="509"/>
    </row>
    <row r="500" spans="1:32" s="65" customFormat="1" ht="11.25">
      <c r="A500" s="626"/>
      <c r="B500" s="626"/>
      <c r="C500" s="626"/>
      <c r="D500" s="626"/>
      <c r="E500" s="626"/>
      <c r="F500" s="626"/>
      <c r="G500" s="626"/>
      <c r="H500" s="626"/>
      <c r="I500" s="626"/>
      <c r="J500" s="626"/>
      <c r="K500" s="626" t="s">
        <v>1148</v>
      </c>
      <c r="L500" s="626"/>
      <c r="M500" s="626"/>
      <c r="AE500" s="509"/>
      <c r="AF500" s="509"/>
    </row>
    <row r="501" spans="1:32" s="65" customFormat="1" ht="11.25">
      <c r="A501" s="626"/>
      <c r="B501" s="626"/>
      <c r="C501" s="626"/>
      <c r="D501" s="626"/>
      <c r="E501" s="626"/>
      <c r="F501" s="626"/>
      <c r="G501" s="626"/>
      <c r="H501" s="626"/>
      <c r="I501" s="626"/>
      <c r="J501" s="626"/>
      <c r="K501" s="626" t="s">
        <v>1875</v>
      </c>
      <c r="L501" s="626"/>
      <c r="M501" s="626"/>
      <c r="AE501" s="509"/>
      <c r="AF501" s="509"/>
    </row>
    <row r="502" spans="1:32" s="65" customFormat="1" ht="11.25">
      <c r="A502" s="626"/>
      <c r="B502" s="626"/>
      <c r="C502" s="626"/>
      <c r="D502" s="626"/>
      <c r="E502" s="626"/>
      <c r="F502" s="626"/>
      <c r="G502" s="626"/>
      <c r="H502" s="626"/>
      <c r="I502" s="626"/>
      <c r="J502" s="626"/>
      <c r="K502" s="626" t="s">
        <v>1202</v>
      </c>
      <c r="L502" s="626"/>
      <c r="M502" s="626"/>
      <c r="AE502" s="509"/>
      <c r="AF502" s="509"/>
    </row>
    <row r="503" spans="1:32" s="65" customFormat="1" ht="11.25">
      <c r="A503" s="626"/>
      <c r="B503" s="626"/>
      <c r="C503" s="626"/>
      <c r="D503" s="626"/>
      <c r="E503" s="626"/>
      <c r="F503" s="626"/>
      <c r="G503" s="626"/>
      <c r="H503" s="626"/>
      <c r="I503" s="626"/>
      <c r="J503" s="626"/>
      <c r="K503" s="626" t="s">
        <v>1876</v>
      </c>
      <c r="L503" s="626"/>
      <c r="M503" s="626"/>
      <c r="AE503" s="509"/>
      <c r="AF503" s="509"/>
    </row>
    <row r="504" spans="1:32" s="65" customFormat="1" ht="11.25">
      <c r="A504" s="626"/>
      <c r="B504" s="626"/>
      <c r="C504" s="626"/>
      <c r="D504" s="626"/>
      <c r="E504" s="626"/>
      <c r="F504" s="626"/>
      <c r="G504" s="626"/>
      <c r="H504" s="626"/>
      <c r="I504" s="626"/>
      <c r="J504" s="626"/>
      <c r="K504" s="626" t="s">
        <v>2523</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1076</v>
      </c>
      <c r="D506" s="626"/>
      <c r="E506" s="626"/>
      <c r="F506" s="626"/>
      <c r="G506" s="626"/>
      <c r="H506" s="626"/>
      <c r="I506" s="626"/>
      <c r="J506" s="626"/>
      <c r="K506" s="632" t="s">
        <v>1077</v>
      </c>
      <c r="L506" s="626"/>
      <c r="M506" s="626"/>
      <c r="AE506" s="509"/>
      <c r="AF506" s="509"/>
    </row>
    <row r="507" spans="1:32" s="65" customFormat="1" ht="11.25">
      <c r="A507" s="626"/>
      <c r="B507" s="626"/>
      <c r="C507" s="626" t="s">
        <v>1075</v>
      </c>
      <c r="D507" s="626"/>
      <c r="E507" s="626"/>
      <c r="F507" s="626"/>
      <c r="G507" s="626"/>
      <c r="H507" s="626"/>
      <c r="I507" s="626"/>
      <c r="J507" s="626"/>
      <c r="K507" s="626" t="s">
        <v>1075</v>
      </c>
      <c r="L507" s="626"/>
      <c r="M507" s="626"/>
      <c r="AE507" s="509"/>
      <c r="AF507" s="509"/>
    </row>
    <row r="508" spans="1:32" s="65" customFormat="1" ht="11.25">
      <c r="A508" s="626"/>
      <c r="B508" s="626"/>
      <c r="C508" s="626" t="s">
        <v>2228</v>
      </c>
      <c r="D508" s="626"/>
      <c r="E508" s="626"/>
      <c r="F508" s="626"/>
      <c r="G508" s="626"/>
      <c r="H508" s="626"/>
      <c r="I508" s="626"/>
      <c r="J508" s="626"/>
      <c r="K508" s="626" t="s">
        <v>242</v>
      </c>
      <c r="L508" s="626"/>
      <c r="M508" s="626"/>
      <c r="AE508" s="509"/>
      <c r="AF508" s="509"/>
    </row>
    <row r="509" spans="1:32" s="65" customFormat="1" ht="11.25">
      <c r="A509" s="626"/>
      <c r="B509" s="626"/>
      <c r="C509" s="626" t="s">
        <v>2727</v>
      </c>
      <c r="D509" s="626"/>
      <c r="E509" s="626"/>
      <c r="F509" s="626"/>
      <c r="G509" s="626"/>
      <c r="H509" s="626"/>
      <c r="I509" s="626"/>
      <c r="J509" s="626"/>
      <c r="K509" s="626" t="s">
        <v>514</v>
      </c>
      <c r="L509" s="626"/>
      <c r="M509" s="626"/>
      <c r="AE509" s="509"/>
      <c r="AF509" s="509"/>
    </row>
    <row r="510" spans="1:32" s="65" customFormat="1" ht="11.25">
      <c r="A510" s="626"/>
      <c r="B510" s="626"/>
      <c r="C510" s="626" t="s">
        <v>2229</v>
      </c>
      <c r="D510" s="626"/>
      <c r="E510" s="626"/>
      <c r="F510" s="626"/>
      <c r="G510" s="626"/>
      <c r="H510" s="626"/>
      <c r="I510" s="626"/>
      <c r="J510" s="626"/>
      <c r="K510" s="626" t="s">
        <v>2674</v>
      </c>
      <c r="L510" s="626"/>
      <c r="M510" s="626"/>
      <c r="AE510" s="509"/>
      <c r="AF510" s="509"/>
    </row>
    <row r="511" spans="1:32" s="65" customFormat="1" ht="11.25">
      <c r="A511" s="626"/>
      <c r="B511" s="626"/>
      <c r="C511" s="626" t="s">
        <v>2084</v>
      </c>
      <c r="D511" s="626"/>
      <c r="E511" s="626"/>
      <c r="F511" s="626"/>
      <c r="G511" s="626"/>
      <c r="H511" s="626"/>
      <c r="I511" s="626"/>
      <c r="J511" s="626"/>
      <c r="K511" s="626" t="s">
        <v>2093</v>
      </c>
      <c r="L511" s="626"/>
      <c r="M511" s="626"/>
      <c r="AE511" s="509"/>
      <c r="AF511" s="509"/>
    </row>
    <row r="512" spans="1:32" s="65" customFormat="1" ht="11.25">
      <c r="A512" s="626"/>
      <c r="B512" s="626"/>
      <c r="C512" s="626" t="s">
        <v>629</v>
      </c>
      <c r="D512" s="626"/>
      <c r="E512" s="626"/>
      <c r="F512" s="626"/>
      <c r="G512" s="626"/>
      <c r="H512" s="626"/>
      <c r="I512" s="626"/>
      <c r="J512" s="626"/>
      <c r="K512" s="626" t="s">
        <v>2676</v>
      </c>
      <c r="L512" s="626"/>
      <c r="M512" s="626"/>
      <c r="AE512" s="509"/>
      <c r="AF512" s="509"/>
    </row>
    <row r="513" spans="1:32" s="65" customFormat="1" ht="11.25">
      <c r="A513" s="626"/>
      <c r="B513" s="626"/>
      <c r="C513" s="626" t="s">
        <v>2336</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1949</v>
      </c>
      <c r="L514" s="626"/>
      <c r="M514" s="626"/>
      <c r="AE514" s="509"/>
      <c r="AF514" s="509"/>
    </row>
    <row r="515" spans="1:32" s="65" customFormat="1" ht="11.25">
      <c r="A515" s="626"/>
      <c r="B515" s="626"/>
      <c r="C515" s="626"/>
      <c r="D515" s="626"/>
      <c r="E515" s="626"/>
      <c r="F515" s="626"/>
      <c r="G515" s="626"/>
      <c r="H515" s="626"/>
      <c r="I515" s="626"/>
      <c r="J515" s="626"/>
      <c r="K515" s="626" t="s">
        <v>2677</v>
      </c>
      <c r="L515" s="626"/>
      <c r="M515" s="626"/>
      <c r="AE515" s="509"/>
      <c r="AF515" s="509"/>
    </row>
    <row r="516" spans="1:32" s="65" customFormat="1" ht="11.25">
      <c r="A516" s="626"/>
      <c r="B516" s="626"/>
      <c r="C516" s="626"/>
      <c r="D516" s="626"/>
      <c r="E516" s="626"/>
      <c r="F516" s="626"/>
      <c r="G516" s="626"/>
      <c r="H516" s="626"/>
      <c r="I516" s="626"/>
      <c r="J516" s="626"/>
      <c r="K516" s="626" t="s">
        <v>1234</v>
      </c>
      <c r="L516" s="626"/>
      <c r="M516" s="626"/>
      <c r="AE516" s="509"/>
      <c r="AF516" s="509"/>
    </row>
    <row r="517" spans="1:32" s="65" customFormat="1" ht="11.25">
      <c r="A517" s="626"/>
      <c r="B517" s="626"/>
      <c r="C517" s="626"/>
      <c r="D517" s="626"/>
      <c r="E517" s="626"/>
      <c r="F517" s="626"/>
      <c r="G517" s="626"/>
      <c r="H517" s="626"/>
      <c r="I517" s="626"/>
      <c r="J517" s="626"/>
      <c r="K517" s="626" t="s">
        <v>2008</v>
      </c>
      <c r="L517" s="626"/>
      <c r="M517" s="626"/>
      <c r="AE517" s="509"/>
      <c r="AF517" s="509"/>
    </row>
    <row r="518" spans="1:32" s="65" customFormat="1" ht="11.25">
      <c r="A518" s="626"/>
      <c r="B518" s="626"/>
      <c r="C518" s="626"/>
      <c r="D518" s="626"/>
      <c r="E518" s="626"/>
      <c r="F518" s="626"/>
      <c r="G518" s="626"/>
      <c r="H518" s="626"/>
      <c r="I518" s="626"/>
      <c r="J518" s="626"/>
      <c r="K518" s="626" t="s">
        <v>628</v>
      </c>
      <c r="L518" s="626"/>
      <c r="M518" s="626"/>
      <c r="AE518" s="509"/>
      <c r="AF518" s="509"/>
    </row>
    <row r="519" spans="1:32" s="65" customFormat="1" ht="11.25">
      <c r="A519" s="626"/>
      <c r="B519" s="626"/>
      <c r="C519" s="626"/>
      <c r="D519" s="626"/>
      <c r="E519" s="626"/>
      <c r="F519" s="626"/>
      <c r="G519" s="626"/>
      <c r="H519" s="626"/>
      <c r="I519" s="626"/>
      <c r="J519" s="626"/>
      <c r="K519" s="626" t="s">
        <v>2009</v>
      </c>
      <c r="L519" s="626"/>
      <c r="M519" s="626"/>
      <c r="AE519" s="509"/>
      <c r="AF519" s="509"/>
    </row>
    <row r="520" spans="1:32" s="65" customFormat="1" ht="11.25">
      <c r="A520" s="626"/>
      <c r="B520" s="626"/>
      <c r="C520" s="626"/>
      <c r="D520" s="626"/>
      <c r="E520" s="626"/>
      <c r="F520" s="626"/>
      <c r="G520" s="626"/>
      <c r="H520" s="626"/>
      <c r="I520" s="626"/>
      <c r="J520" s="626"/>
      <c r="K520" s="626" t="s">
        <v>630</v>
      </c>
      <c r="L520" s="626"/>
      <c r="M520" s="626"/>
      <c r="AE520" s="509"/>
      <c r="AF520" s="509"/>
    </row>
    <row r="521" spans="1:32" s="65" customFormat="1" ht="11.25">
      <c r="A521" s="626"/>
      <c r="B521" s="626"/>
      <c r="C521" s="626"/>
      <c r="D521" s="626"/>
      <c r="E521" s="626"/>
      <c r="F521" s="626"/>
      <c r="G521" s="626"/>
      <c r="H521" s="626"/>
      <c r="I521" s="626"/>
      <c r="J521" s="626"/>
      <c r="K521" s="626" t="s">
        <v>241</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2175</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B388"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113" zoomScaleNormal="100" workbookViewId="0">
      <selection activeCell="A113"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88" t="str">
        <f>CONCATENATE("PART NINE - SCORING CRITERIA","  -  ",'Part I-Project Information'!$O$4," ",'Part I-Project Information'!$F$23,", ",'Part I-Project Information'!F27,", ",'Part I-Project Information'!J28," County")</f>
        <v>PART NINE - SCORING CRITERIA  -  2014-051 Macon Gardens, Macon, Bibb County</v>
      </c>
      <c r="B1" s="1289"/>
      <c r="C1" s="1289"/>
      <c r="D1" s="1289"/>
      <c r="E1" s="1289"/>
      <c r="F1" s="1289"/>
      <c r="G1" s="1289"/>
      <c r="H1" s="1289"/>
      <c r="I1" s="1289"/>
      <c r="J1" s="1289"/>
      <c r="K1" s="1289"/>
      <c r="L1" s="1289"/>
      <c r="M1" s="1289"/>
      <c r="N1" s="1289"/>
      <c r="O1" s="1289"/>
      <c r="P1" s="129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271</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1304</v>
      </c>
      <c r="M6" s="328">
        <f>M352</f>
        <v>87</v>
      </c>
      <c r="N6" s="10"/>
      <c r="O6" s="76">
        <f>O352</f>
        <v>48</v>
      </c>
      <c r="P6" s="76">
        <f>P352</f>
        <v>12</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2123</v>
      </c>
      <c r="B8" s="123" t="s">
        <v>3238</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2119</v>
      </c>
      <c r="B10" s="205" t="s">
        <v>1999</v>
      </c>
      <c r="D10" s="56"/>
      <c r="E10" s="56"/>
      <c r="F10" s="1173" t="s">
        <v>2766</v>
      </c>
      <c r="G10" s="38">
        <f>F16</f>
        <v>0</v>
      </c>
      <c r="H10" s="213" t="s">
        <v>3527</v>
      </c>
      <c r="M10" s="7"/>
      <c r="N10" s="77" t="s">
        <v>2119</v>
      </c>
      <c r="O10" s="2314"/>
      <c r="P10" s="782"/>
    </row>
    <row r="11" spans="1:19" s="51" customFormat="1" ht="11.25" customHeight="1">
      <c r="A11" s="222"/>
      <c r="B11" s="127" t="s">
        <v>2252</v>
      </c>
      <c r="D11" s="56"/>
      <c r="E11" s="56"/>
      <c r="F11" s="1173" t="s">
        <v>2766</v>
      </c>
      <c r="G11" s="38">
        <f>P16</f>
        <v>0</v>
      </c>
      <c r="H11" s="213" t="s">
        <v>3158</v>
      </c>
      <c r="J11" s="57"/>
      <c r="M11" s="7">
        <v>1</v>
      </c>
      <c r="N11" s="77"/>
      <c r="O11" s="2315"/>
      <c r="P11" s="783"/>
    </row>
    <row r="12" spans="1:19" s="50" customFormat="1" ht="11.25" customHeight="1">
      <c r="A12" s="222" t="s">
        <v>2122</v>
      </c>
      <c r="B12" s="205" t="s">
        <v>777</v>
      </c>
      <c r="D12" s="56"/>
      <c r="E12" s="56"/>
      <c r="F12" s="1173" t="s">
        <v>2766</v>
      </c>
      <c r="G12" s="38">
        <f>K16</f>
        <v>0</v>
      </c>
      <c r="H12" s="213" t="s">
        <v>2989</v>
      </c>
      <c r="J12" s="57"/>
      <c r="M12" s="7"/>
      <c r="N12" s="77" t="s">
        <v>2122</v>
      </c>
      <c r="O12" s="2316"/>
      <c r="P12" s="784"/>
      <c r="Q12" s="126"/>
    </row>
    <row r="13" spans="1:19" s="50" customFormat="1" ht="11.25" customHeight="1">
      <c r="A13" s="57" t="s">
        <v>270</v>
      </c>
      <c r="D13" s="56"/>
      <c r="E13" s="56"/>
      <c r="F13" s="56"/>
      <c r="G13" s="56"/>
      <c r="H13" s="44"/>
      <c r="I13" s="44"/>
      <c r="J13" s="44"/>
      <c r="K13" s="44"/>
      <c r="L13" s="51"/>
      <c r="M13" s="54"/>
      <c r="N13" s="73"/>
      <c r="O13" s="4"/>
      <c r="P13" s="1161"/>
    </row>
    <row r="14" spans="1:19" s="50" customFormat="1" ht="12.6" customHeight="1">
      <c r="A14" s="2212"/>
      <c r="B14" s="2213"/>
      <c r="C14" s="2213"/>
      <c r="D14" s="2213"/>
      <c r="E14" s="2213"/>
      <c r="F14" s="2213"/>
      <c r="G14" s="2213"/>
      <c r="H14" s="2213"/>
      <c r="I14" s="2213"/>
      <c r="J14" s="2213"/>
      <c r="K14" s="2213"/>
      <c r="L14" s="2213"/>
      <c r="M14" s="2213"/>
      <c r="N14" s="2213"/>
      <c r="O14" s="2213"/>
      <c r="P14" s="2214"/>
      <c r="Q14" s="561" t="s">
        <v>1333</v>
      </c>
      <c r="R14" s="562"/>
    </row>
    <row r="15" spans="1:19" s="50" customFormat="1" ht="10.9" customHeight="1">
      <c r="A15" s="79" t="s">
        <v>1997</v>
      </c>
      <c r="C15" s="111"/>
      <c r="D15" s="111"/>
      <c r="F15" s="1170" t="s">
        <v>1836</v>
      </c>
      <c r="K15" s="1170" t="s">
        <v>1836</v>
      </c>
      <c r="P15" s="593" t="s">
        <v>1836</v>
      </c>
      <c r="R15" s="563"/>
      <c r="S15" s="188"/>
    </row>
    <row r="16" spans="1:19" s="50" customFormat="1" ht="12" customHeight="1">
      <c r="A16" s="1556" t="s">
        <v>2564</v>
      </c>
      <c r="B16" s="1556"/>
      <c r="C16" s="1556"/>
      <c r="D16" s="1556"/>
      <c r="E16" s="78" t="s">
        <v>542</v>
      </c>
      <c r="F16" s="89">
        <f>SUM(F17:F28)</f>
        <v>0</v>
      </c>
      <c r="G16" s="1557" t="s">
        <v>2565</v>
      </c>
      <c r="H16" s="1556"/>
      <c r="I16" s="1556"/>
      <c r="J16" s="78" t="s">
        <v>542</v>
      </c>
      <c r="K16" s="89">
        <f>SUM(K17:K28)</f>
        <v>0</v>
      </c>
      <c r="L16" s="1171" t="s">
        <v>3157</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17" t="s">
        <v>1856</v>
      </c>
      <c r="L17" s="1538">
        <v>1</v>
      </c>
      <c r="M17" s="1539"/>
      <c r="N17" s="1539"/>
      <c r="O17" s="1539"/>
      <c r="P17" s="785"/>
      <c r="Q17" s="561" t="s">
        <v>1333</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18" t="s">
        <v>3598</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18" t="s">
        <v>3598</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2125</v>
      </c>
      <c r="B30" s="130" t="s">
        <v>1078</v>
      </c>
      <c r="E30" s="68"/>
      <c r="G30" s="102"/>
      <c r="H30" s="62"/>
      <c r="J30" s="528"/>
      <c r="K30" s="1549" t="s">
        <v>2890</v>
      </c>
      <c r="L30" s="1549"/>
      <c r="M30" s="611">
        <v>3</v>
      </c>
      <c r="N30" s="8"/>
      <c r="O30" s="179">
        <f>IF($K32 &gt;= $P32,$M32,IF($K31&gt;=$P31,$M31,0))</f>
        <v>3</v>
      </c>
      <c r="P30" s="179">
        <f>IF($L32 &gt;= $P32,$M32,IF($L31&gt;=$P31,$M31,0))</f>
        <v>0</v>
      </c>
      <c r="Q30" s="126" t="s">
        <v>464</v>
      </c>
      <c r="R30" s="457" t="str">
        <f>IF(OR($O30=$M30,$O30=0,$O30=""),"","* * Check Score! * *")</f>
        <v/>
      </c>
    </row>
    <row r="31" spans="1:19" s="528" customFormat="1" ht="11.25" customHeight="1">
      <c r="A31" s="527" t="s">
        <v>2119</v>
      </c>
      <c r="B31" s="133" t="s">
        <v>2810</v>
      </c>
      <c r="E31" s="529"/>
      <c r="H31" s="507" t="s">
        <v>2888</v>
      </c>
      <c r="I31" s="2319">
        <v>71</v>
      </c>
      <c r="J31" s="788"/>
      <c r="K31" s="727">
        <f>IF(OR('Part VI-Revenues &amp; Expenses'!$M$60="", 'Part VI-Revenues &amp; Expenses'!$M$60=0),0,I31/'Part VI-Revenues &amp; Expenses'!$M$60)</f>
        <v>0.53787878787878785</v>
      </c>
      <c r="L31" s="727">
        <f>IF(OR('Part VI-Revenues &amp; Expenses'!$M$60="", 'Part VI-Revenues &amp; Expenses'!$M$60=0),0,J31/'Part VI-Revenues &amp; Expenses'!$M$60)</f>
        <v>0</v>
      </c>
      <c r="M31" s="534">
        <v>3</v>
      </c>
      <c r="N31" s="530"/>
      <c r="O31" s="1543" t="s">
        <v>2912</v>
      </c>
      <c r="P31" s="560">
        <v>0.15</v>
      </c>
    </row>
    <row r="32" spans="1:19" s="528" customFormat="1" ht="11.25" customHeight="1">
      <c r="A32" s="527" t="s">
        <v>2122</v>
      </c>
      <c r="B32" s="133" t="s">
        <v>2811</v>
      </c>
      <c r="E32" s="529"/>
      <c r="H32" s="507" t="s">
        <v>2812</v>
      </c>
      <c r="I32" s="2320">
        <v>0</v>
      </c>
      <c r="J32" s="789"/>
      <c r="K32" s="728">
        <f>IF(OR('Part VI-Revenues &amp; Expenses'!$M$60="", 'Part VI-Revenues &amp; Expenses'!$M$60=0),0,I32/'Part VI-Revenues &amp; Expenses'!$M$60)</f>
        <v>0</v>
      </c>
      <c r="L32" s="728">
        <f>IF(OR('Part VI-Revenues &amp; Expenses'!$M$60="", 'Part VI-Revenues &amp; Expenses'!$M$60=0),0,J32/'Part VI-Revenues &amp; Expenses'!$M$60)</f>
        <v>0</v>
      </c>
      <c r="M32" s="534">
        <v>3</v>
      </c>
      <c r="N32" s="530"/>
      <c r="O32" s="1544"/>
      <c r="P32" s="560">
        <v>0.15</v>
      </c>
    </row>
    <row r="33" spans="1:18" s="51" customFormat="1" ht="11.25" customHeight="1">
      <c r="A33" s="50"/>
      <c r="B33" s="57" t="s">
        <v>270</v>
      </c>
      <c r="C33" s="50"/>
      <c r="D33" s="56"/>
      <c r="E33" s="56"/>
      <c r="F33" s="56"/>
      <c r="G33" s="56"/>
      <c r="H33" s="44"/>
      <c r="I33" s="44"/>
      <c r="J33" s="44"/>
      <c r="K33" s="44"/>
      <c r="M33" s="54"/>
      <c r="N33" s="73"/>
      <c r="O33" s="4"/>
      <c r="P33" s="1161"/>
    </row>
    <row r="34" spans="1:18" s="51" customFormat="1" ht="12.6" customHeight="1">
      <c r="A34" s="2212" t="s">
        <v>3825</v>
      </c>
      <c r="B34" s="2213"/>
      <c r="C34" s="2213"/>
      <c r="D34" s="2213"/>
      <c r="E34" s="2213"/>
      <c r="F34" s="2213"/>
      <c r="G34" s="2213"/>
      <c r="H34" s="2213"/>
      <c r="I34" s="2213"/>
      <c r="J34" s="2213"/>
      <c r="K34" s="2213"/>
      <c r="L34" s="2213"/>
      <c r="M34" s="2213"/>
      <c r="N34" s="2213"/>
      <c r="O34" s="2213"/>
      <c r="P34" s="2214"/>
      <c r="Q34" s="561" t="s">
        <v>1333</v>
      </c>
    </row>
    <row r="35" spans="1:18" s="51" customFormat="1" ht="11.45" customHeight="1">
      <c r="A35" s="50"/>
      <c r="B35" s="114" t="s">
        <v>1997</v>
      </c>
      <c r="C35" s="50"/>
      <c r="D35" s="100"/>
      <c r="E35" s="1162"/>
      <c r="F35" s="1162"/>
      <c r="G35" s="1162"/>
      <c r="H35" s="1162"/>
      <c r="I35" s="1162"/>
      <c r="J35" s="1162"/>
      <c r="K35" s="1162"/>
      <c r="L35" s="1162"/>
      <c r="M35" s="1162"/>
      <c r="N35" s="87"/>
      <c r="O35" s="83"/>
      <c r="P35" s="2"/>
      <c r="Q35" s="528"/>
    </row>
    <row r="36" spans="1:18" s="51" customFormat="1" ht="12.6" customHeight="1">
      <c r="A36" s="1419"/>
      <c r="B36" s="1420"/>
      <c r="C36" s="1420"/>
      <c r="D36" s="1420"/>
      <c r="E36" s="1420"/>
      <c r="F36" s="1420"/>
      <c r="G36" s="1420"/>
      <c r="H36" s="1420"/>
      <c r="I36" s="1420"/>
      <c r="J36" s="1420"/>
      <c r="K36" s="1420"/>
      <c r="L36" s="1420"/>
      <c r="M36" s="1420"/>
      <c r="N36" s="1420"/>
      <c r="O36" s="1420"/>
      <c r="P36" s="1421"/>
      <c r="Q36" s="561" t="s">
        <v>1333</v>
      </c>
    </row>
    <row r="37" spans="1:18" ht="3" customHeight="1"/>
    <row r="38" spans="1:18" s="51" customFormat="1" ht="12.6" customHeight="1">
      <c r="A38" s="182" t="s">
        <v>2708</v>
      </c>
      <c r="B38" s="122" t="s">
        <v>2005</v>
      </c>
      <c r="D38" s="49"/>
      <c r="H38" s="1418" t="s">
        <v>637</v>
      </c>
      <c r="I38" s="1418"/>
      <c r="J38" s="1418"/>
      <c r="K38" s="1418"/>
      <c r="M38" s="2">
        <v>12</v>
      </c>
      <c r="N38" s="593"/>
      <c r="O38" s="179">
        <f>IF(OR($M40-$O41&lt;0,$O40-$O41&lt;0),0,IF($O40&lt;=$M40,$O40-$O41,IF($O40&gt;$M40,$M40-$O41,0)))</f>
        <v>12</v>
      </c>
      <c r="P38" s="179">
        <f>IF(OR($M40-$P41&lt;0,$P40-$P41&lt;0),0,IF($P40&lt;=$M40,$P40-$P41,IF($P40&gt;$M40,$M40-$P41,0)))</f>
        <v>0</v>
      </c>
      <c r="Q38" s="126" t="s">
        <v>464</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2119</v>
      </c>
      <c r="B40" s="205" t="s">
        <v>2006</v>
      </c>
      <c r="C40" s="5"/>
      <c r="D40" s="5"/>
      <c r="E40" s="213" t="s">
        <v>2969</v>
      </c>
      <c r="F40" s="365"/>
      <c r="G40" s="365"/>
      <c r="H40" s="1418"/>
      <c r="I40" s="1418"/>
      <c r="J40" s="1418"/>
      <c r="K40" s="1418"/>
      <c r="M40" s="85">
        <v>12</v>
      </c>
      <c r="N40" s="217" t="s">
        <v>2119</v>
      </c>
      <c r="O40" s="2321">
        <v>12</v>
      </c>
      <c r="P40" s="790"/>
      <c r="Q40" s="473" t="s">
        <v>2948</v>
      </c>
      <c r="R40" s="457"/>
    </row>
    <row r="41" spans="1:18" s="51" customFormat="1" ht="12.6" customHeight="1">
      <c r="A41" s="165" t="s">
        <v>2122</v>
      </c>
      <c r="B41" s="205" t="s">
        <v>2007</v>
      </c>
      <c r="D41" s="49"/>
      <c r="E41" s="213" t="s">
        <v>448</v>
      </c>
      <c r="F41" s="477"/>
      <c r="G41" s="477"/>
      <c r="H41" s="477"/>
      <c r="M41" s="1170" t="s">
        <v>1317</v>
      </c>
      <c r="N41" s="593" t="s">
        <v>2122</v>
      </c>
      <c r="O41" s="2316">
        <v>0</v>
      </c>
      <c r="P41" s="791"/>
      <c r="Q41" s="473" t="s">
        <v>2948</v>
      </c>
      <c r="R41" s="457"/>
    </row>
    <row r="42" spans="1:18" s="51" customFormat="1" ht="11.25" customHeight="1">
      <c r="A42" s="50"/>
      <c r="B42" s="57" t="s">
        <v>270</v>
      </c>
      <c r="C42" s="50"/>
      <c r="D42" s="56"/>
      <c r="E42" s="56"/>
      <c r="F42" s="56"/>
      <c r="G42" s="56"/>
      <c r="H42" s="44"/>
      <c r="I42" s="44"/>
      <c r="J42" s="44"/>
      <c r="K42" s="44"/>
      <c r="M42" s="54"/>
      <c r="N42" s="73"/>
      <c r="O42" s="4"/>
      <c r="P42" s="1161"/>
    </row>
    <row r="43" spans="1:18" s="51" customFormat="1" ht="23.45" customHeight="1">
      <c r="A43" s="2212" t="s">
        <v>3826</v>
      </c>
      <c r="B43" s="2213"/>
      <c r="C43" s="2213"/>
      <c r="D43" s="2213"/>
      <c r="E43" s="2213"/>
      <c r="F43" s="2213"/>
      <c r="G43" s="2213"/>
      <c r="H43" s="2213"/>
      <c r="I43" s="2213"/>
      <c r="J43" s="2213"/>
      <c r="K43" s="2213"/>
      <c r="L43" s="2213"/>
      <c r="M43" s="2213"/>
      <c r="N43" s="2213"/>
      <c r="O43" s="2213"/>
      <c r="P43" s="2214"/>
      <c r="Q43" s="561" t="s">
        <v>1333</v>
      </c>
      <c r="R43" s="562"/>
    </row>
    <row r="44" spans="1:18" s="51" customFormat="1" ht="11.45" customHeight="1">
      <c r="A44" s="50"/>
      <c r="B44" s="79" t="s">
        <v>1997</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1333</v>
      </c>
      <c r="R45" s="562"/>
    </row>
    <row r="46" spans="1:18" ht="3.6" customHeight="1">
      <c r="M46" s="40"/>
      <c r="N46" s="134"/>
      <c r="O46" s="180"/>
      <c r="P46" s="180"/>
    </row>
    <row r="47" spans="1:18" s="51" customFormat="1" ht="12.6" customHeight="1">
      <c r="A47" s="182" t="s">
        <v>1302</v>
      </c>
      <c r="B47" s="122" t="s">
        <v>2827</v>
      </c>
      <c r="D47" s="49"/>
      <c r="H47" s="53" t="s">
        <v>2891</v>
      </c>
      <c r="I47" s="57" t="s">
        <v>2013</v>
      </c>
      <c r="J47" s="56"/>
      <c r="K47" s="56"/>
      <c r="M47" s="2">
        <v>4</v>
      </c>
      <c r="N47" s="593"/>
      <c r="O47" s="179">
        <f>IF(J48="Flexible",MIN($M47,(O49+O50+O51+O52)),IF(AND(J48="Rural",O55&gt;0),MIN($M55,O55),0))</f>
        <v>3</v>
      </c>
      <c r="P47" s="179">
        <f>IF(K48="Flexible",MIN($M47,(P49+P50+P51+P52)),IF(AND(K48="Rural",P55&gt;0),MIN($M55,P55),0))</f>
        <v>0</v>
      </c>
      <c r="Q47" s="126" t="s">
        <v>464</v>
      </c>
    </row>
    <row r="48" spans="1:18" s="51" customFormat="1" ht="12.6" customHeight="1">
      <c r="A48" s="674" t="s">
        <v>3239</v>
      </c>
      <c r="B48" s="122"/>
      <c r="D48" s="49"/>
      <c r="H48" s="205" t="s">
        <v>3249</v>
      </c>
      <c r="I48" s="675"/>
      <c r="J48" s="673" t="str">
        <f>'Part I-Project Information'!$H$85</f>
        <v>Flexible</v>
      </c>
      <c r="L48" s="31"/>
      <c r="M48" s="2"/>
      <c r="N48" s="2"/>
      <c r="O48" s="2"/>
      <c r="P48" s="2"/>
      <c r="Q48" s="126"/>
    </row>
    <row r="49" spans="1:19" s="504" customFormat="1" ht="23.25" customHeight="1">
      <c r="A49" s="170" t="s">
        <v>2119</v>
      </c>
      <c r="B49" s="1546" t="s">
        <v>3528</v>
      </c>
      <c r="C49" s="1546"/>
      <c r="D49" s="1546"/>
      <c r="E49" s="1546"/>
      <c r="F49" s="1546"/>
      <c r="G49" s="1546"/>
      <c r="H49" s="1546"/>
      <c r="I49" s="1546"/>
      <c r="J49" s="1546"/>
      <c r="K49" s="1546"/>
      <c r="L49" s="1546"/>
      <c r="M49" s="670">
        <v>4</v>
      </c>
      <c r="N49" s="474" t="s">
        <v>2119</v>
      </c>
      <c r="O49" s="2322">
        <v>0</v>
      </c>
      <c r="P49" s="1168"/>
      <c r="Q49" s="671" t="str">
        <f>IF(OR($O49=$M49,$O49=0,$O49=""),"","* * Check Score! * *")</f>
        <v/>
      </c>
      <c r="S49" s="473" t="s">
        <v>2948</v>
      </c>
    </row>
    <row r="50" spans="1:19" s="504" customFormat="1" ht="12" customHeight="1">
      <c r="A50" s="170" t="s">
        <v>2122</v>
      </c>
      <c r="B50" s="1546" t="s">
        <v>3543</v>
      </c>
      <c r="C50" s="1546"/>
      <c r="D50" s="1546"/>
      <c r="E50" s="1546"/>
      <c r="F50" s="1546"/>
      <c r="G50" s="1546"/>
      <c r="H50" s="1546"/>
      <c r="I50" s="1546"/>
      <c r="J50" s="1546"/>
      <c r="K50" s="1546"/>
      <c r="L50" s="1546"/>
      <c r="M50" s="670">
        <v>3</v>
      </c>
      <c r="N50" s="192" t="s">
        <v>2122</v>
      </c>
      <c r="O50" s="2323">
        <v>3</v>
      </c>
      <c r="P50" s="792"/>
      <c r="Q50" s="671" t="str">
        <f>IF(OR($O50=$M50,$O50=0,$O50=""),"","* * Check Score! * *")</f>
        <v/>
      </c>
      <c r="S50" s="473" t="s">
        <v>2948</v>
      </c>
    </row>
    <row r="51" spans="1:19" s="51" customFormat="1" ht="12.6" customHeight="1">
      <c r="A51" s="165" t="s">
        <v>800</v>
      </c>
      <c r="B51" s="205" t="s">
        <v>3397</v>
      </c>
      <c r="E51" s="49"/>
      <c r="K51" s="56"/>
      <c r="M51" s="85">
        <v>2</v>
      </c>
      <c r="N51" s="217" t="s">
        <v>800</v>
      </c>
      <c r="O51" s="2324">
        <v>0</v>
      </c>
      <c r="P51" s="793"/>
      <c r="Q51" s="457" t="str">
        <f>IF(OR($O51=$M51,$O51=0,$O51=""),"","* * Check Score! * *")</f>
        <v/>
      </c>
      <c r="S51" s="473" t="s">
        <v>2948</v>
      </c>
    </row>
    <row r="52" spans="1:19" s="51" customFormat="1" ht="12.6" customHeight="1">
      <c r="A52" s="165" t="s">
        <v>2254</v>
      </c>
      <c r="B52" s="205" t="s">
        <v>3398</v>
      </c>
      <c r="E52" s="49"/>
      <c r="K52" s="56"/>
      <c r="M52" s="85">
        <v>1</v>
      </c>
      <c r="N52" s="217" t="s">
        <v>2254</v>
      </c>
      <c r="O52" s="2325">
        <v>0</v>
      </c>
      <c r="P52" s="791"/>
      <c r="Q52" s="457" t="str">
        <f>IF(OR($O52=$M52,$O52=0,$O52=""),"","* * Check Score! * *")</f>
        <v/>
      </c>
      <c r="S52" s="473" t="s">
        <v>2948</v>
      </c>
    </row>
    <row r="53" spans="1:19" s="51" customFormat="1" ht="12.6" customHeight="1">
      <c r="A53" s="44" t="s">
        <v>3542</v>
      </c>
      <c r="B53" s="205"/>
      <c r="E53" s="49"/>
      <c r="K53" s="56"/>
      <c r="M53" s="85"/>
      <c r="N53" s="85"/>
      <c r="O53" s="85"/>
      <c r="P53" s="85"/>
      <c r="Q53" s="457"/>
      <c r="R53" s="457"/>
    </row>
    <row r="54" spans="1:19" s="51" customFormat="1" ht="12.6" customHeight="1">
      <c r="A54" s="674" t="s">
        <v>3242</v>
      </c>
      <c r="B54" s="205"/>
      <c r="E54" s="49"/>
      <c r="K54" s="56"/>
      <c r="M54" s="85"/>
      <c r="N54" s="85"/>
      <c r="O54" s="85"/>
      <c r="P54" s="85"/>
      <c r="Q54" s="457"/>
      <c r="R54" s="457"/>
    </row>
    <row r="55" spans="1:19" s="119" customFormat="1" ht="12" customHeight="1">
      <c r="A55" s="165" t="s">
        <v>1858</v>
      </c>
      <c r="B55" s="205" t="s">
        <v>3300</v>
      </c>
      <c r="C55" s="205"/>
      <c r="D55" s="205"/>
      <c r="E55" s="205"/>
      <c r="F55" s="205"/>
      <c r="G55" s="205"/>
      <c r="H55" s="205"/>
      <c r="I55" s="205"/>
      <c r="J55" s="205"/>
      <c r="K55" s="205"/>
      <c r="L55" s="205"/>
      <c r="M55" s="85">
        <v>2</v>
      </c>
      <c r="N55" s="217" t="s">
        <v>1858</v>
      </c>
      <c r="O55" s="2326">
        <v>0</v>
      </c>
      <c r="P55" s="794"/>
      <c r="Q55" s="457" t="str">
        <f>IF(OR($O55=$M55,$O55=0,$O55=""),"","* * Check Score! * *")</f>
        <v/>
      </c>
      <c r="R55" s="457"/>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12" t="s">
        <v>3827</v>
      </c>
      <c r="B57" s="2213"/>
      <c r="C57" s="2213"/>
      <c r="D57" s="2213"/>
      <c r="E57" s="2213"/>
      <c r="F57" s="2213"/>
      <c r="G57" s="2213"/>
      <c r="H57" s="2213"/>
      <c r="I57" s="2213"/>
      <c r="J57" s="2213"/>
      <c r="K57" s="2213"/>
      <c r="L57" s="2213"/>
      <c r="M57" s="2213"/>
      <c r="N57" s="2213"/>
      <c r="O57" s="2213"/>
      <c r="P57" s="2214"/>
      <c r="Q57" s="561" t="s">
        <v>1333</v>
      </c>
    </row>
    <row r="58" spans="1:19" s="119" customFormat="1" ht="11.45" customHeight="1">
      <c r="A58" s="50"/>
      <c r="B58" s="114" t="s">
        <v>1997</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1333</v>
      </c>
    </row>
    <row r="60" spans="1:19" s="51" customFormat="1" ht="3" customHeight="1">
      <c r="A60" s="218"/>
      <c r="B60" s="59"/>
      <c r="G60" s="49"/>
      <c r="J60" s="56"/>
      <c r="K60" s="56"/>
      <c r="M60" s="119"/>
      <c r="N60" s="59"/>
      <c r="O60" s="119"/>
      <c r="P60" s="119"/>
    </row>
    <row r="61" spans="1:19" s="51" customFormat="1" ht="12.6" customHeight="1">
      <c r="A61" s="182" t="s">
        <v>1303</v>
      </c>
      <c r="B61" s="122" t="s">
        <v>2828</v>
      </c>
      <c r="D61" s="49"/>
      <c r="E61" s="44" t="s">
        <v>1473</v>
      </c>
      <c r="I61" s="57" t="s">
        <v>2013</v>
      </c>
      <c r="M61" s="2">
        <v>2</v>
      </c>
      <c r="N61" s="481" t="str">
        <f>IF(OR($O61=$M61,$O61=0,$O61=""),"","***")</f>
        <v/>
      </c>
      <c r="O61" s="2327">
        <v>0</v>
      </c>
      <c r="P61" s="794"/>
      <c r="Q61" s="126" t="s">
        <v>464</v>
      </c>
    </row>
    <row r="62" spans="1:19" s="51" customFormat="1" ht="12.6" customHeight="1">
      <c r="A62" s="182"/>
      <c r="B62" s="478" t="s">
        <v>2813</v>
      </c>
      <c r="D62" s="49"/>
      <c r="E62" s="44"/>
      <c r="L62" s="2328"/>
      <c r="M62" s="2329"/>
      <c r="N62" s="2329"/>
      <c r="O62" s="2330"/>
      <c r="P62" s="593"/>
      <c r="Q62" s="126"/>
    </row>
    <row r="63" spans="1:19" s="51" customFormat="1" ht="12.6" customHeight="1">
      <c r="A63" s="182"/>
      <c r="B63" s="478" t="s">
        <v>3240</v>
      </c>
      <c r="D63" s="49"/>
      <c r="E63" s="44"/>
      <c r="L63" s="2328"/>
      <c r="M63" s="2329"/>
      <c r="N63" s="2329"/>
      <c r="O63" s="2330"/>
      <c r="P63" s="593"/>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12" t="s">
        <v>1030</v>
      </c>
      <c r="B65" s="2213"/>
      <c r="C65" s="2213"/>
      <c r="D65" s="2213"/>
      <c r="E65" s="2213"/>
      <c r="F65" s="2213"/>
      <c r="G65" s="2213"/>
      <c r="H65" s="2213"/>
      <c r="I65" s="2213"/>
      <c r="J65" s="2213"/>
      <c r="K65" s="2213"/>
      <c r="L65" s="2213"/>
      <c r="M65" s="2213"/>
      <c r="N65" s="2213"/>
      <c r="O65" s="2213"/>
      <c r="P65" s="2214"/>
      <c r="Q65" s="561" t="s">
        <v>1333</v>
      </c>
    </row>
    <row r="66" spans="1:18" s="119" customFormat="1" ht="11.45" customHeight="1">
      <c r="A66" s="50"/>
      <c r="B66" s="114" t="s">
        <v>1997</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1333</v>
      </c>
    </row>
    <row r="68" spans="1:18" ht="3" customHeight="1">
      <c r="B68" s="137"/>
      <c r="C68" s="137"/>
      <c r="D68" s="137"/>
      <c r="E68" s="137"/>
      <c r="R68" s="51"/>
    </row>
    <row r="69" spans="1:18" s="51" customFormat="1" ht="12.6" customHeight="1">
      <c r="A69" s="182" t="s">
        <v>2015</v>
      </c>
      <c r="B69" s="123" t="s">
        <v>226</v>
      </c>
      <c r="D69" s="47"/>
      <c r="E69" s="44"/>
      <c r="I69" s="558" t="s">
        <v>2881</v>
      </c>
      <c r="J69" s="1948" t="s">
        <v>3828</v>
      </c>
      <c r="K69" s="2331"/>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464</v>
      </c>
    </row>
    <row r="70" spans="1:18" ht="11.45" customHeight="1">
      <c r="A70" s="165" t="s">
        <v>2119</v>
      </c>
      <c r="B70" s="221" t="s">
        <v>2478</v>
      </c>
      <c r="D70" s="40"/>
      <c r="H70" s="205" t="s">
        <v>3249</v>
      </c>
      <c r="I70" s="675"/>
      <c r="J70" s="673" t="str">
        <f>'Part I-Project Information'!$H$85</f>
        <v>Flexible</v>
      </c>
      <c r="K70" s="51"/>
      <c r="M70" s="134">
        <v>3</v>
      </c>
      <c r="N70" s="31"/>
      <c r="O70" s="139" t="s">
        <v>2682</v>
      </c>
      <c r="P70" s="139" t="s">
        <v>2682</v>
      </c>
    </row>
    <row r="71" spans="1:18" s="51" customFormat="1" ht="12.6" customHeight="1">
      <c r="B71" s="532" t="s">
        <v>2919</v>
      </c>
      <c r="D71" s="49"/>
      <c r="M71" s="2"/>
      <c r="N71" s="217" t="s">
        <v>2119</v>
      </c>
      <c r="O71" s="2208" t="s">
        <v>3702</v>
      </c>
      <c r="P71" s="796"/>
      <c r="Q71" s="126"/>
    </row>
    <row r="72" spans="1:18" ht="11.45" customHeight="1">
      <c r="B72" s="451" t="s">
        <v>2123</v>
      </c>
      <c r="C72" s="466" t="s">
        <v>2814</v>
      </c>
      <c r="E72" s="137"/>
      <c r="N72" s="31"/>
      <c r="O72" s="31"/>
      <c r="P72" s="31"/>
    </row>
    <row r="73" spans="1:18" ht="23.25" customHeight="1">
      <c r="A73" s="503" t="str">
        <f>IF(AND(O73="",$J$69="Earth Craft Communities"), "X","")</f>
        <v/>
      </c>
      <c r="B73" s="472"/>
      <c r="C73" s="1545" t="s">
        <v>2816</v>
      </c>
      <c r="D73" s="1545"/>
      <c r="E73" s="1545"/>
      <c r="F73" s="1545"/>
      <c r="G73" s="1545"/>
      <c r="H73" s="1545"/>
      <c r="I73" s="1545"/>
      <c r="J73" s="1545"/>
      <c r="K73" s="1545"/>
      <c r="L73" s="1545"/>
      <c r="M73" s="469" t="str">
        <f>IF(AND($I$87="Stable Communities &lt; 10%",O73=""), "X","")</f>
        <v/>
      </c>
      <c r="N73" s="616">
        <v>1</v>
      </c>
      <c r="O73" s="2262" t="s">
        <v>3702</v>
      </c>
      <c r="P73" s="797"/>
    </row>
    <row r="74" spans="1:18" ht="11.45" customHeight="1">
      <c r="B74" s="451" t="s">
        <v>2125</v>
      </c>
      <c r="C74" s="466" t="s">
        <v>2815</v>
      </c>
      <c r="E74" s="137"/>
      <c r="M74" s="470"/>
      <c r="N74" s="31"/>
      <c r="O74" s="139" t="s">
        <v>2682</v>
      </c>
      <c r="P74" s="139" t="s">
        <v>2682</v>
      </c>
    </row>
    <row r="75" spans="1:18" ht="23.25" customHeight="1">
      <c r="A75" s="503" t="str">
        <f>IF(AND(O75="",$J$69="LEED-ND"), "X","")</f>
        <v/>
      </c>
      <c r="B75" s="472"/>
      <c r="C75" s="1545" t="s">
        <v>2990</v>
      </c>
      <c r="D75" s="1545"/>
      <c r="E75" s="1545"/>
      <c r="F75" s="1545"/>
      <c r="G75" s="1545"/>
      <c r="H75" s="1545"/>
      <c r="I75" s="1545"/>
      <c r="J75" s="1545"/>
      <c r="K75" s="1545"/>
      <c r="L75" s="1545"/>
      <c r="M75" s="469" t="str">
        <f>IF(AND($I$87="Stable Communities &lt; 10%",O75=""), "X","")</f>
        <v/>
      </c>
      <c r="N75" s="616" t="s">
        <v>2818</v>
      </c>
      <c r="O75" s="2332" t="s">
        <v>3702</v>
      </c>
      <c r="P75" s="798"/>
    </row>
    <row r="76" spans="1:18" ht="6" customHeight="1">
      <c r="B76" s="472"/>
      <c r="E76" s="166"/>
      <c r="F76" s="166"/>
      <c r="I76" s="166"/>
      <c r="J76" s="166"/>
      <c r="K76" s="166"/>
      <c r="M76" s="469"/>
      <c r="N76" s="469"/>
      <c r="O76" s="469"/>
      <c r="P76" s="469"/>
    </row>
    <row r="77" spans="1:18" ht="11.45" customHeight="1">
      <c r="A77" s="165" t="s">
        <v>2122</v>
      </c>
      <c r="B77" s="221" t="s">
        <v>329</v>
      </c>
      <c r="D77" s="40"/>
      <c r="E77" s="40"/>
      <c r="F77" s="40"/>
      <c r="M77" s="66">
        <v>2</v>
      </c>
      <c r="N77" s="31"/>
      <c r="O77" s="139" t="s">
        <v>2682</v>
      </c>
      <c r="P77" s="139" t="s">
        <v>2682</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2123</v>
      </c>
      <c r="C78" s="613" t="s">
        <v>2994</v>
      </c>
      <c r="D78" s="49"/>
      <c r="M78" s="2"/>
      <c r="N78" s="617" t="s">
        <v>2123</v>
      </c>
      <c r="O78" s="2271" t="s">
        <v>3705</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2125</v>
      </c>
      <c r="C79" s="613" t="s">
        <v>2991</v>
      </c>
      <c r="D79" s="49"/>
      <c r="M79" s="2"/>
      <c r="N79" s="617" t="s">
        <v>2125</v>
      </c>
      <c r="O79" s="2272" t="s">
        <v>3705</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2708</v>
      </c>
      <c r="C80" s="613" t="s">
        <v>2992</v>
      </c>
      <c r="D80" s="49"/>
      <c r="M80" s="2"/>
      <c r="N80" s="617" t="s">
        <v>2708</v>
      </c>
      <c r="O80" s="2272" t="s">
        <v>3705</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1302</v>
      </c>
      <c r="C81" s="613" t="s">
        <v>2993</v>
      </c>
      <c r="D81" s="49"/>
      <c r="M81" s="2"/>
      <c r="N81" s="617" t="s">
        <v>1302</v>
      </c>
      <c r="O81" s="2273" t="s">
        <v>3705</v>
      </c>
      <c r="P81" s="801"/>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33" t="s">
        <v>3829</v>
      </c>
      <c r="B83" s="2334"/>
      <c r="C83" s="2334"/>
      <c r="D83" s="2334"/>
      <c r="E83" s="2334"/>
      <c r="F83" s="2334"/>
      <c r="G83" s="2334"/>
      <c r="H83" s="2334"/>
      <c r="I83" s="2334"/>
      <c r="J83" s="2334"/>
      <c r="K83" s="2334"/>
      <c r="L83" s="2334"/>
      <c r="M83" s="2334"/>
      <c r="N83" s="2334"/>
      <c r="O83" s="2334"/>
      <c r="P83" s="2335"/>
      <c r="Q83" s="561" t="s">
        <v>1333</v>
      </c>
    </row>
    <row r="84" spans="1:18" s="51" customFormat="1" ht="11.25" customHeight="1">
      <c r="B84" s="114" t="s">
        <v>1997</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1333</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536</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464</v>
      </c>
      <c r="R87" s="51"/>
    </row>
    <row r="88" spans="1:18" ht="11.45" customHeight="1">
      <c r="A88" s="165"/>
      <c r="B88" s="205" t="s">
        <v>3249</v>
      </c>
      <c r="C88" s="672"/>
      <c r="D88" s="672"/>
      <c r="E88" s="673" t="str">
        <f>'Part I-Project Information'!$H$85</f>
        <v>Flexible</v>
      </c>
      <c r="M88" s="134"/>
      <c r="N88" s="31"/>
      <c r="O88" s="139" t="s">
        <v>2682</v>
      </c>
      <c r="P88" s="139" t="s">
        <v>2682</v>
      </c>
    </row>
    <row r="89" spans="1:18" ht="11.45" customHeight="1">
      <c r="A89" s="450" t="str">
        <f>IF($I$87="Stable Communities &lt; 5%", "*","")</f>
        <v/>
      </c>
      <c r="B89" s="451" t="s">
        <v>2123</v>
      </c>
      <c r="C89" s="550" t="s">
        <v>2909</v>
      </c>
      <c r="E89" s="137"/>
      <c r="M89" s="94"/>
      <c r="N89" s="31"/>
      <c r="O89" s="2262" t="s">
        <v>3702</v>
      </c>
      <c r="P89" s="797"/>
    </row>
    <row r="90" spans="1:18" ht="11.45" customHeight="1">
      <c r="B90" s="451" t="s">
        <v>2125</v>
      </c>
      <c r="C90" s="550" t="s">
        <v>3011</v>
      </c>
      <c r="D90" s="2336"/>
      <c r="E90" s="550" t="s">
        <v>3012</v>
      </c>
      <c r="H90" s="117" t="s">
        <v>2549</v>
      </c>
      <c r="K90" s="160" t="s">
        <v>3010</v>
      </c>
      <c r="L90" s="2337"/>
      <c r="M90" s="533"/>
      <c r="N90" s="531"/>
    </row>
    <row r="91" spans="1:18" ht="11.45" customHeight="1">
      <c r="B91" s="451" t="s">
        <v>2708</v>
      </c>
      <c r="C91" s="509" t="s">
        <v>2550</v>
      </c>
      <c r="E91" s="137"/>
      <c r="H91" s="117" t="s">
        <v>2551</v>
      </c>
      <c r="K91" s="608" t="s">
        <v>2999</v>
      </c>
      <c r="L91" s="2338"/>
      <c r="M91" s="533"/>
    </row>
    <row r="92" spans="1:18" ht="11.45" customHeight="1">
      <c r="B92" s="451" t="s">
        <v>1302</v>
      </c>
      <c r="C92" s="509" t="s">
        <v>3399</v>
      </c>
      <c r="E92" s="137"/>
      <c r="H92" s="117"/>
      <c r="K92" s="160" t="s">
        <v>3010</v>
      </c>
      <c r="L92" s="2339"/>
      <c r="M92" s="533"/>
    </row>
    <row r="93" spans="1:18" s="51" customFormat="1" ht="13.9" customHeight="1">
      <c r="A93" s="50"/>
      <c r="B93" s="57" t="s">
        <v>270</v>
      </c>
      <c r="C93" s="50"/>
      <c r="D93" s="56"/>
      <c r="E93" s="56"/>
      <c r="F93" s="56"/>
      <c r="G93" s="56"/>
      <c r="H93" s="44"/>
      <c r="I93" s="44"/>
      <c r="J93" s="44"/>
      <c r="K93" s="44"/>
      <c r="M93" s="54"/>
      <c r="N93" s="73"/>
      <c r="O93" s="4"/>
      <c r="P93" s="1161"/>
    </row>
    <row r="94" spans="1:18" s="51" customFormat="1" ht="12.75" customHeight="1">
      <c r="A94" s="2333" t="s">
        <v>1030</v>
      </c>
      <c r="B94" s="2334"/>
      <c r="C94" s="2334"/>
      <c r="D94" s="2334"/>
      <c r="E94" s="2334"/>
      <c r="F94" s="2334"/>
      <c r="G94" s="2334"/>
      <c r="H94" s="2334"/>
      <c r="I94" s="2334"/>
      <c r="J94" s="2334"/>
      <c r="K94" s="2334"/>
      <c r="L94" s="2334"/>
      <c r="M94" s="2334"/>
      <c r="N94" s="2334"/>
      <c r="O94" s="2334"/>
      <c r="P94" s="2335"/>
      <c r="Q94" s="561" t="s">
        <v>1333</v>
      </c>
    </row>
    <row r="95" spans="1:18" s="51" customFormat="1" ht="11.25" customHeight="1">
      <c r="A95" s="50"/>
      <c r="B95" s="100" t="s">
        <v>1997</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1333</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537</v>
      </c>
      <c r="B98" s="123" t="s">
        <v>3250</v>
      </c>
      <c r="C98" s="109"/>
      <c r="D98" s="70"/>
      <c r="E98" s="70"/>
      <c r="H98" s="677"/>
      <c r="J98" s="2340" t="s">
        <v>3306</v>
      </c>
      <c r="K98" s="2341"/>
      <c r="L98" s="2342"/>
      <c r="M98" s="2">
        <v>3</v>
      </c>
      <c r="N98" s="8"/>
      <c r="O98" s="89">
        <f>IF(J98="Adopted Revitalization Plan",2,IF(J98="Designated Military Zone",1,IF(J98="Adptd Revital Plan &amp; Desig MZ",3,IF(J98="HUD Choice Neighborhood",2,0))))</f>
        <v>0</v>
      </c>
      <c r="P98" s="794"/>
      <c r="Q98" s="126" t="s">
        <v>464</v>
      </c>
      <c r="R98" s="51"/>
    </row>
    <row r="99" spans="1:18" ht="11.45" customHeight="1">
      <c r="A99" s="165" t="s">
        <v>2119</v>
      </c>
      <c r="B99" s="221" t="s">
        <v>3255</v>
      </c>
      <c r="E99" s="40"/>
      <c r="F99" s="693" t="s">
        <v>3256</v>
      </c>
      <c r="I99" s="2343"/>
      <c r="J99" s="2344"/>
      <c r="K99" s="2344"/>
      <c r="L99" s="2344"/>
      <c r="M99" s="2344"/>
      <c r="N99" s="2344"/>
      <c r="O99" s="2344"/>
      <c r="P99" s="2345"/>
    </row>
    <row r="100" spans="1:18" s="51" customFormat="1" ht="12" customHeight="1">
      <c r="A100" s="165"/>
      <c r="B100" s="65" t="s">
        <v>3594</v>
      </c>
      <c r="D100" s="40"/>
      <c r="N100" s="593"/>
      <c r="O100" s="2273" t="s">
        <v>3702</v>
      </c>
      <c r="P100" s="801"/>
      <c r="R100" s="457"/>
    </row>
    <row r="101" spans="1:18" s="51" customFormat="1" ht="11.45" customHeight="1">
      <c r="A101" s="533"/>
      <c r="B101" s="132" t="s">
        <v>3381</v>
      </c>
      <c r="E101" s="48"/>
      <c r="G101" s="608" t="s">
        <v>3321</v>
      </c>
      <c r="H101" s="1529" t="str">
        <f>'Part I-Project Information'!O27</f>
        <v>132.01</v>
      </c>
      <c r="I101" s="1530"/>
      <c r="M101" s="534">
        <v>2</v>
      </c>
      <c r="O101" s="139" t="s">
        <v>2682</v>
      </c>
      <c r="P101" s="139" t="s">
        <v>2682</v>
      </c>
    </row>
    <row r="102" spans="1:18" s="51" customFormat="1" ht="11.45" customHeight="1">
      <c r="A102" s="450"/>
      <c r="B102" s="471" t="s">
        <v>2600</v>
      </c>
      <c r="C102" s="65" t="s">
        <v>3311</v>
      </c>
      <c r="D102" s="119"/>
      <c r="E102" s="48"/>
      <c r="G102" s="473" t="s">
        <v>3597</v>
      </c>
      <c r="I102" s="2346"/>
      <c r="M102" s="450"/>
      <c r="N102" s="471" t="s">
        <v>2600</v>
      </c>
      <c r="O102" s="2271" t="s">
        <v>3705</v>
      </c>
      <c r="P102" s="799"/>
    </row>
    <row r="103" spans="1:18" s="51" customFormat="1" ht="11.45" customHeight="1">
      <c r="A103" s="450"/>
      <c r="B103" s="452" t="s">
        <v>2601</v>
      </c>
      <c r="C103" s="608" t="s">
        <v>3312</v>
      </c>
      <c r="D103" s="119"/>
      <c r="E103" s="48"/>
      <c r="G103" s="473" t="s">
        <v>3583</v>
      </c>
      <c r="H103" s="2347"/>
      <c r="I103" s="2348"/>
      <c r="K103" s="473" t="s">
        <v>3592</v>
      </c>
      <c r="L103" s="2349"/>
      <c r="M103" s="2350"/>
      <c r="N103" s="452" t="s">
        <v>2601</v>
      </c>
      <c r="O103" s="2273" t="s">
        <v>3705</v>
      </c>
      <c r="P103" s="801"/>
    </row>
    <row r="104" spans="1:18" s="51" customFormat="1" ht="11.45" customHeight="1">
      <c r="A104" s="450"/>
      <c r="B104" s="452"/>
      <c r="C104" s="608"/>
      <c r="D104" s="119"/>
      <c r="E104" s="48"/>
      <c r="G104" s="473" t="s">
        <v>3308</v>
      </c>
      <c r="H104" s="2347"/>
      <c r="I104" s="2348"/>
      <c r="K104" s="473" t="s">
        <v>3307</v>
      </c>
      <c r="L104" s="2349" t="s">
        <v>3309</v>
      </c>
      <c r="M104" s="2350"/>
    </row>
    <row r="105" spans="1:18" ht="11.25" customHeight="1">
      <c r="B105" s="452" t="s">
        <v>2602</v>
      </c>
      <c r="C105" s="608" t="s">
        <v>3313</v>
      </c>
      <c r="D105" s="117"/>
      <c r="G105" s="348" t="s">
        <v>3593</v>
      </c>
      <c r="L105" s="2346"/>
      <c r="M105" s="450"/>
      <c r="N105" s="452" t="s">
        <v>2602</v>
      </c>
      <c r="O105" s="2262" t="s">
        <v>3705</v>
      </c>
      <c r="P105" s="797"/>
    </row>
    <row r="106" spans="1:18" ht="10.9" customHeight="1">
      <c r="B106" s="452"/>
      <c r="C106" s="608"/>
      <c r="D106" s="117"/>
      <c r="G106" s="473" t="s">
        <v>3595</v>
      </c>
      <c r="L106" s="2347"/>
      <c r="M106" s="2348"/>
      <c r="N106" s="31"/>
      <c r="O106" s="31"/>
      <c r="P106" s="31"/>
    </row>
    <row r="107" spans="1:18" ht="10.9" customHeight="1">
      <c r="B107" s="452"/>
      <c r="C107" s="608" t="s">
        <v>3310</v>
      </c>
      <c r="D107" s="117"/>
      <c r="G107" s="348"/>
      <c r="K107" s="681" t="s">
        <v>2947</v>
      </c>
      <c r="L107" s="2351"/>
      <c r="M107" s="450"/>
      <c r="N107" s="452"/>
      <c r="O107" s="2271" t="s">
        <v>3705</v>
      </c>
      <c r="P107" s="799"/>
    </row>
    <row r="108" spans="1:18" ht="10.9" customHeight="1">
      <c r="B108" s="452" t="s">
        <v>2603</v>
      </c>
      <c r="C108" s="649" t="s">
        <v>3314</v>
      </c>
      <c r="K108" s="681" t="s">
        <v>2947</v>
      </c>
      <c r="L108" s="2352"/>
      <c r="M108" s="450"/>
      <c r="N108" s="452" t="s">
        <v>2603</v>
      </c>
      <c r="O108" s="2272" t="s">
        <v>3705</v>
      </c>
      <c r="P108" s="800"/>
    </row>
    <row r="109" spans="1:18" ht="10.9" customHeight="1">
      <c r="B109" s="452" t="s">
        <v>2604</v>
      </c>
      <c r="C109" s="649" t="s">
        <v>3315</v>
      </c>
      <c r="K109" s="681" t="s">
        <v>2947</v>
      </c>
      <c r="L109" s="2352"/>
      <c r="M109" s="450"/>
      <c r="N109" s="452" t="s">
        <v>2604</v>
      </c>
      <c r="O109" s="2272" t="s">
        <v>3705</v>
      </c>
      <c r="P109" s="800"/>
    </row>
    <row r="110" spans="1:18" ht="10.9" customHeight="1">
      <c r="B110" s="452" t="s">
        <v>2620</v>
      </c>
      <c r="C110" s="62" t="s">
        <v>3318</v>
      </c>
      <c r="K110" s="681" t="s">
        <v>2947</v>
      </c>
      <c r="L110" s="2353"/>
      <c r="M110" s="450"/>
      <c r="N110" s="452" t="s">
        <v>2620</v>
      </c>
      <c r="O110" s="2272" t="s">
        <v>3705</v>
      </c>
      <c r="P110" s="800"/>
    </row>
    <row r="111" spans="1:18" ht="10.9" customHeight="1">
      <c r="B111" s="452"/>
      <c r="C111" s="62" t="s">
        <v>3316</v>
      </c>
      <c r="K111" s="765"/>
      <c r="M111" s="450"/>
      <c r="N111" s="452"/>
      <c r="O111" s="2272" t="s">
        <v>3705</v>
      </c>
      <c r="P111" s="800"/>
    </row>
    <row r="112" spans="1:18" ht="10.9" customHeight="1">
      <c r="B112" s="452" t="s">
        <v>2621</v>
      </c>
      <c r="C112" s="649" t="s">
        <v>3317</v>
      </c>
      <c r="D112" s="117"/>
      <c r="K112" s="681" t="s">
        <v>2947</v>
      </c>
      <c r="L112" s="2354"/>
      <c r="M112" s="450"/>
      <c r="N112" s="452" t="s">
        <v>2621</v>
      </c>
      <c r="O112" s="2272" t="s">
        <v>3705</v>
      </c>
      <c r="P112" s="800"/>
    </row>
    <row r="113" spans="1:17" ht="10.9" customHeight="1">
      <c r="B113" s="471" t="s">
        <v>2622</v>
      </c>
      <c r="C113" s="649" t="s">
        <v>3319</v>
      </c>
      <c r="K113" s="681" t="s">
        <v>2947</v>
      </c>
      <c r="L113" s="2352"/>
      <c r="M113" s="450"/>
      <c r="N113" s="471" t="s">
        <v>2622</v>
      </c>
      <c r="O113" s="2272" t="s">
        <v>3705</v>
      </c>
      <c r="P113" s="800"/>
    </row>
    <row r="114" spans="1:17" ht="10.9" customHeight="1">
      <c r="B114" s="471" t="s">
        <v>2623</v>
      </c>
      <c r="C114" s="649" t="s">
        <v>3320</v>
      </c>
      <c r="K114" s="681" t="s">
        <v>2947</v>
      </c>
      <c r="L114" s="2352"/>
      <c r="M114" s="450"/>
      <c r="N114" s="471" t="s">
        <v>2623</v>
      </c>
      <c r="O114" s="2272" t="s">
        <v>3705</v>
      </c>
      <c r="P114" s="800"/>
    </row>
    <row r="115" spans="1:17" ht="10.9" customHeight="1">
      <c r="B115" s="471" t="s">
        <v>2624</v>
      </c>
      <c r="C115" s="649" t="s">
        <v>3322</v>
      </c>
      <c r="K115" s="681" t="s">
        <v>2947</v>
      </c>
      <c r="L115" s="2353"/>
      <c r="M115" s="450"/>
      <c r="N115" s="471" t="s">
        <v>2624</v>
      </c>
      <c r="O115" s="2273" t="s">
        <v>3705</v>
      </c>
      <c r="P115" s="801"/>
    </row>
    <row r="116" spans="1:17" ht="11.45" customHeight="1">
      <c r="A116" s="165" t="s">
        <v>2122</v>
      </c>
      <c r="B116" s="221" t="s">
        <v>3252</v>
      </c>
      <c r="D116" s="40"/>
      <c r="M116" s="94">
        <v>1</v>
      </c>
      <c r="N116" s="31"/>
      <c r="O116" s="139" t="s">
        <v>2682</v>
      </c>
      <c r="P116" s="139" t="s">
        <v>2682</v>
      </c>
    </row>
    <row r="117" spans="1:17" ht="11.45" customHeight="1">
      <c r="A117" s="668" t="s">
        <v>1441</v>
      </c>
      <c r="B117" s="550" t="s">
        <v>3254</v>
      </c>
      <c r="E117" s="137"/>
      <c r="N117" s="31"/>
      <c r="O117" s="2262" t="s">
        <v>3702</v>
      </c>
      <c r="P117" s="797"/>
      <c r="Q117" s="473"/>
    </row>
    <row r="118" spans="1:17" ht="11.45" customHeight="1">
      <c r="A118" s="165" t="s">
        <v>800</v>
      </c>
      <c r="B118" s="221" t="s">
        <v>3253</v>
      </c>
      <c r="C118" s="221"/>
      <c r="D118" s="40"/>
      <c r="M118" s="134">
        <v>2</v>
      </c>
      <c r="N118" s="31"/>
      <c r="O118" s="676" t="s">
        <v>2682</v>
      </c>
      <c r="P118" s="676" t="s">
        <v>2682</v>
      </c>
    </row>
    <row r="119" spans="1:17" ht="22.5" customHeight="1">
      <c r="B119" s="1534" t="s">
        <v>3529</v>
      </c>
      <c r="C119" s="1534"/>
      <c r="D119" s="1534"/>
      <c r="E119" s="1534"/>
      <c r="F119" s="1534"/>
      <c r="G119" s="1534"/>
      <c r="H119" s="1534"/>
      <c r="I119" s="1534"/>
      <c r="J119" s="1534"/>
      <c r="K119" s="1534"/>
      <c r="L119" s="1534"/>
      <c r="N119" s="31"/>
      <c r="O119" s="2262" t="s">
        <v>3702</v>
      </c>
      <c r="P119" s="797"/>
    </row>
    <row r="120" spans="1:17" s="51" customFormat="1" ht="13.9" customHeight="1">
      <c r="A120" s="50"/>
      <c r="B120" s="57" t="s">
        <v>270</v>
      </c>
      <c r="C120" s="50"/>
      <c r="D120" s="56"/>
      <c r="E120" s="56"/>
      <c r="F120" s="56"/>
      <c r="G120" s="56"/>
      <c r="H120" s="44"/>
      <c r="I120" s="44"/>
      <c r="J120" s="44"/>
      <c r="K120" s="44"/>
      <c r="M120" s="54"/>
      <c r="N120" s="73"/>
      <c r="O120" s="4"/>
      <c r="P120" s="1161"/>
    </row>
    <row r="121" spans="1:17" s="51" customFormat="1" ht="12.75" customHeight="1">
      <c r="A121" s="2333" t="s">
        <v>3830</v>
      </c>
      <c r="B121" s="2334"/>
      <c r="C121" s="2334"/>
      <c r="D121" s="2334"/>
      <c r="E121" s="2334"/>
      <c r="F121" s="2334"/>
      <c r="G121" s="2334"/>
      <c r="H121" s="2334"/>
      <c r="I121" s="2334"/>
      <c r="J121" s="2334"/>
      <c r="K121" s="2334"/>
      <c r="L121" s="2334"/>
      <c r="M121" s="2334"/>
      <c r="N121" s="2334"/>
      <c r="O121" s="2334"/>
      <c r="P121" s="2335"/>
      <c r="Q121" s="561" t="s">
        <v>1333</v>
      </c>
    </row>
    <row r="122" spans="1:17" s="51" customFormat="1" ht="11.25" customHeight="1">
      <c r="A122" s="50"/>
      <c r="B122" s="100" t="s">
        <v>1997</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1333</v>
      </c>
    </row>
    <row r="124" spans="1:17" ht="3.6" customHeight="1">
      <c r="B124" s="137"/>
      <c r="C124" s="137"/>
      <c r="D124" s="137"/>
      <c r="E124" s="137"/>
    </row>
    <row r="125" spans="1:17" s="51" customFormat="1" ht="12" customHeight="1">
      <c r="A125" s="182" t="s">
        <v>228</v>
      </c>
      <c r="B125" s="122" t="s">
        <v>2625</v>
      </c>
      <c r="D125" s="49"/>
      <c r="E125" s="49"/>
      <c r="F125" s="49"/>
      <c r="H125" s="72"/>
      <c r="J125" s="72" t="s">
        <v>420</v>
      </c>
      <c r="K125" s="56"/>
      <c r="M125" s="2">
        <v>3</v>
      </c>
      <c r="N125" s="7"/>
      <c r="O125" s="89">
        <f>IF(AND(J126="Flexible",O126=$M126),$M126,IF(O132&gt;0,O132,0))</f>
        <v>2</v>
      </c>
      <c r="P125" s="89">
        <f>MIN($M125,(P126+P132))</f>
        <v>0</v>
      </c>
      <c r="Q125" s="126" t="s">
        <v>464</v>
      </c>
    </row>
    <row r="126" spans="1:17" ht="12" customHeight="1">
      <c r="A126" s="1155" t="s">
        <v>2119</v>
      </c>
      <c r="B126" s="221" t="s">
        <v>2380</v>
      </c>
      <c r="D126" s="40"/>
      <c r="E126" s="40"/>
      <c r="F126" s="40"/>
      <c r="G126" s="31" t="str">
        <f>IF(AND(O126&lt;0,L133&lt;0),"Select either A or B but not both!&gt;","")</f>
        <v/>
      </c>
      <c r="H126" s="205" t="s">
        <v>3249</v>
      </c>
      <c r="I126" s="672"/>
      <c r="J126" s="673" t="str">
        <f>'Part I-Project Information'!$H$85</f>
        <v>Flexible</v>
      </c>
      <c r="M126" s="85">
        <v>3</v>
      </c>
      <c r="N126" s="593" t="s">
        <v>2119</v>
      </c>
      <c r="O126" s="2321">
        <v>0</v>
      </c>
      <c r="P126" s="790"/>
      <c r="Q126" s="473" t="s">
        <v>2948</v>
      </c>
    </row>
    <row r="127" spans="1:17" s="117" customFormat="1" ht="22.9" customHeight="1">
      <c r="B127" s="474" t="s">
        <v>2123</v>
      </c>
      <c r="C127" s="1534" t="s">
        <v>3530</v>
      </c>
      <c r="D127" s="1428"/>
      <c r="E127" s="1428"/>
      <c r="F127" s="1428"/>
      <c r="G127" s="1428"/>
      <c r="H127" s="1428"/>
      <c r="I127" s="1428"/>
      <c r="J127" s="1428"/>
      <c r="K127" s="1428"/>
      <c r="L127" s="1428"/>
      <c r="M127" s="506"/>
      <c r="N127" s="474" t="s">
        <v>2123</v>
      </c>
      <c r="O127" s="2273" t="s">
        <v>3702</v>
      </c>
      <c r="P127" s="801"/>
    </row>
    <row r="128" spans="1:17" s="117" customFormat="1" ht="10.5" customHeight="1">
      <c r="B128" s="217"/>
      <c r="C128" s="138" t="s">
        <v>1021</v>
      </c>
      <c r="H128" s="541" t="s">
        <v>2766</v>
      </c>
      <c r="I128" s="2355"/>
      <c r="J128" s="541" t="s">
        <v>2451</v>
      </c>
      <c r="K128" s="2356"/>
      <c r="L128" s="2357"/>
      <c r="M128" s="2358"/>
    </row>
    <row r="129" spans="1:17" s="117" customFormat="1" ht="10.5" customHeight="1">
      <c r="B129" s="217" t="s">
        <v>2125</v>
      </c>
      <c r="C129" s="138" t="s">
        <v>1022</v>
      </c>
      <c r="M129" s="8"/>
      <c r="N129" s="217" t="s">
        <v>2125</v>
      </c>
      <c r="O129" s="2271" t="s">
        <v>3702</v>
      </c>
      <c r="P129" s="799"/>
    </row>
    <row r="130" spans="1:17" s="117" customFormat="1" ht="10.5" customHeight="1">
      <c r="B130" s="217" t="s">
        <v>2708</v>
      </c>
      <c r="C130" s="138" t="s">
        <v>1023</v>
      </c>
      <c r="M130" s="8"/>
      <c r="N130" s="217" t="s">
        <v>2708</v>
      </c>
      <c r="O130" s="2272" t="s">
        <v>3702</v>
      </c>
      <c r="P130" s="800"/>
    </row>
    <row r="131" spans="1:17" s="117" customFormat="1" ht="10.5" customHeight="1">
      <c r="A131" s="668" t="s">
        <v>1441</v>
      </c>
      <c r="B131" s="217" t="s">
        <v>1302</v>
      </c>
      <c r="C131" s="138" t="s">
        <v>1024</v>
      </c>
      <c r="M131" s="8"/>
      <c r="N131" s="217" t="s">
        <v>1302</v>
      </c>
      <c r="O131" s="2273" t="s">
        <v>3702</v>
      </c>
      <c r="P131" s="801"/>
    </row>
    <row r="132" spans="1:17" ht="12" customHeight="1">
      <c r="A132" s="1155" t="s">
        <v>2122</v>
      </c>
      <c r="B132" s="221" t="s">
        <v>2381</v>
      </c>
      <c r="D132" s="137"/>
      <c r="E132" s="510" t="s">
        <v>3156</v>
      </c>
      <c r="M132" s="85">
        <v>3</v>
      </c>
      <c r="N132" s="593" t="s">
        <v>2122</v>
      </c>
      <c r="O132" s="726">
        <f>IF($L133=5,3,IF($L133=4,2,0))</f>
        <v>2</v>
      </c>
      <c r="P132" s="794"/>
    </row>
    <row r="133" spans="1:17" ht="10.5" customHeight="1">
      <c r="B133" s="537" t="s">
        <v>3323</v>
      </c>
      <c r="D133" s="40"/>
      <c r="E133" s="40"/>
      <c r="F133" s="40"/>
      <c r="G133" s="48"/>
      <c r="H133" s="48"/>
      <c r="I133" s="48"/>
      <c r="J133" s="48"/>
      <c r="L133" s="2359">
        <v>4</v>
      </c>
      <c r="M133" s="160" t="s">
        <v>3324</v>
      </c>
      <c r="O133" s="119"/>
      <c r="P133" s="119"/>
    </row>
    <row r="134" spans="1:17" ht="10.5" customHeight="1">
      <c r="B134" s="537" t="s">
        <v>3325</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61"/>
    </row>
    <row r="136" spans="1:17" s="51" customFormat="1" ht="11.45" customHeight="1">
      <c r="A136" s="2212" t="s">
        <v>3841</v>
      </c>
      <c r="B136" s="2213"/>
      <c r="C136" s="2213"/>
      <c r="D136" s="2213"/>
      <c r="E136" s="2213"/>
      <c r="F136" s="2213"/>
      <c r="G136" s="2213"/>
      <c r="H136" s="2213"/>
      <c r="I136" s="2213"/>
      <c r="J136" s="2213"/>
      <c r="K136" s="2213"/>
      <c r="L136" s="2213"/>
      <c r="M136" s="2213"/>
      <c r="N136" s="2213"/>
      <c r="O136" s="2213"/>
      <c r="P136" s="2214"/>
      <c r="Q136" s="561" t="s">
        <v>1333</v>
      </c>
    </row>
    <row r="137" spans="1:17" s="51" customFormat="1" ht="11.45" customHeight="1">
      <c r="B137" s="100" t="s">
        <v>1997</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1333</v>
      </c>
    </row>
    <row r="139" spans="1:17" ht="3" customHeight="1">
      <c r="B139" s="137"/>
      <c r="C139" s="137"/>
      <c r="D139" s="137"/>
      <c r="E139" s="137"/>
    </row>
    <row r="140" spans="1:17" s="51" customFormat="1" ht="12" customHeight="1">
      <c r="A140" s="182" t="s">
        <v>229</v>
      </c>
      <c r="B140" s="122" t="s">
        <v>2626</v>
      </c>
      <c r="E140" s="49"/>
      <c r="F140" s="49"/>
      <c r="H140" s="72"/>
      <c r="K140" s="56"/>
      <c r="L140" s="457" t="str">
        <f>IF(OR($O140=$M140,$O140=0,$O140=""),"","* * Check Score! * *")</f>
        <v/>
      </c>
      <c r="M140" s="2">
        <v>2</v>
      </c>
      <c r="N140" s="481" t="str">
        <f>IF(OR($O140=$M140,$O140=0,$O140=""),"","***")</f>
        <v/>
      </c>
      <c r="O140" s="2327">
        <v>2</v>
      </c>
      <c r="P140" s="794"/>
      <c r="Q140" s="126" t="s">
        <v>464</v>
      </c>
    </row>
    <row r="141" spans="1:17" ht="11.45" customHeight="1">
      <c r="B141" s="203" t="s">
        <v>1784</v>
      </c>
      <c r="E141" s="137"/>
      <c r="M141" s="470"/>
      <c r="N141" s="31"/>
      <c r="O141" s="31"/>
      <c r="P141" s="139" t="s">
        <v>2682</v>
      </c>
    </row>
    <row r="142" spans="1:17" s="476" customFormat="1">
      <c r="A142" s="170" t="s">
        <v>2119</v>
      </c>
      <c r="B142" s="1524" t="s">
        <v>2826</v>
      </c>
      <c r="C142" s="1301"/>
      <c r="D142" s="1301"/>
      <c r="E142" s="1301"/>
      <c r="F142" s="1301"/>
      <c r="G142" s="1301"/>
      <c r="H142" s="1301"/>
      <c r="I142" s="1301"/>
      <c r="J142" s="1301"/>
      <c r="K142" s="1301"/>
      <c r="L142" s="1301"/>
      <c r="M142" s="1301"/>
      <c r="N142" s="1301"/>
      <c r="O142" s="472" t="s">
        <v>2600</v>
      </c>
      <c r="P142" s="802"/>
    </row>
    <row r="143" spans="1:17" s="476" customFormat="1" ht="24" customHeight="1">
      <c r="A143" s="170" t="s">
        <v>2122</v>
      </c>
      <c r="B143" s="1524" t="s">
        <v>2995</v>
      </c>
      <c r="C143" s="1301"/>
      <c r="D143" s="1301"/>
      <c r="E143" s="1301"/>
      <c r="F143" s="1301"/>
      <c r="G143" s="1301"/>
      <c r="H143" s="1301"/>
      <c r="I143" s="1301"/>
      <c r="J143" s="1301"/>
      <c r="K143" s="1301"/>
      <c r="L143" s="1301"/>
      <c r="M143" s="1301"/>
      <c r="N143" s="1301"/>
      <c r="O143" s="472" t="s">
        <v>2601</v>
      </c>
      <c r="P143" s="803"/>
    </row>
    <row r="144" spans="1:17" s="476" customFormat="1" ht="12.75" customHeight="1">
      <c r="A144" s="170" t="s">
        <v>800</v>
      </c>
      <c r="B144" s="260" t="s">
        <v>1785</v>
      </c>
      <c r="M144" s="548"/>
      <c r="N144" s="472"/>
      <c r="O144" s="472" t="s">
        <v>2602</v>
      </c>
      <c r="P144" s="804"/>
    </row>
    <row r="145" spans="1:18" s="51" customFormat="1" ht="12.75" customHeight="1">
      <c r="A145" s="472"/>
      <c r="B145" s="57" t="s">
        <v>270</v>
      </c>
      <c r="C145" s="50"/>
      <c r="D145" s="56"/>
      <c r="E145" s="56"/>
      <c r="F145" s="56"/>
      <c r="G145" s="56"/>
      <c r="H145" s="44"/>
      <c r="I145" s="44"/>
      <c r="J145" s="44"/>
      <c r="K145" s="44"/>
      <c r="M145" s="54"/>
      <c r="N145" s="73"/>
      <c r="O145" s="4"/>
      <c r="P145" s="1161"/>
    </row>
    <row r="146" spans="1:18" s="51" customFormat="1" ht="24.6" customHeight="1">
      <c r="A146" s="2212" t="s">
        <v>3831</v>
      </c>
      <c r="B146" s="2213"/>
      <c r="C146" s="2213"/>
      <c r="D146" s="2213"/>
      <c r="E146" s="2213"/>
      <c r="F146" s="2213"/>
      <c r="G146" s="2213"/>
      <c r="H146" s="2213"/>
      <c r="I146" s="2213"/>
      <c r="J146" s="2213"/>
      <c r="K146" s="2213"/>
      <c r="L146" s="2213"/>
      <c r="M146" s="2213"/>
      <c r="N146" s="2213"/>
      <c r="O146" s="2213"/>
      <c r="P146" s="2214"/>
      <c r="Q146" s="561" t="s">
        <v>1333</v>
      </c>
    </row>
    <row r="147" spans="1:18" s="51" customFormat="1" ht="11.25" customHeight="1">
      <c r="A147" s="50"/>
      <c r="B147" s="100" t="s">
        <v>1997</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1333</v>
      </c>
    </row>
    <row r="149" spans="1:18" ht="3" customHeight="1">
      <c r="B149" s="137"/>
      <c r="C149" s="137"/>
      <c r="D149" s="137"/>
      <c r="E149" s="137"/>
    </row>
    <row r="150" spans="1:18" s="51" customFormat="1" ht="12" customHeight="1">
      <c r="A150" s="183" t="s">
        <v>230</v>
      </c>
      <c r="B150" s="123" t="s">
        <v>3326</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2119</v>
      </c>
      <c r="B151" s="205" t="s">
        <v>2382</v>
      </c>
      <c r="D151" s="72"/>
      <c r="E151" s="72"/>
      <c r="F151" s="52"/>
      <c r="G151" s="31"/>
      <c r="K151" s="593" t="s">
        <v>2923</v>
      </c>
      <c r="L151" s="2271" t="s">
        <v>3705</v>
      </c>
      <c r="M151" s="8">
        <v>1</v>
      </c>
      <c r="N151" s="593" t="s">
        <v>2119</v>
      </c>
      <c r="O151" s="2321">
        <v>1</v>
      </c>
      <c r="P151" s="790"/>
      <c r="Q151" s="473"/>
      <c r="R151" s="457" t="str">
        <f>IF(OR($O151=$M151,$O151=0,$O151=""),"","* * Check Score! * *")</f>
        <v/>
      </c>
    </row>
    <row r="152" spans="1:18" s="51" customFormat="1" ht="12" customHeight="1">
      <c r="A152" s="165" t="s">
        <v>2122</v>
      </c>
      <c r="B152" s="205" t="s">
        <v>2383</v>
      </c>
      <c r="D152" s="68"/>
      <c r="H152" s="1173" t="s">
        <v>2910</v>
      </c>
      <c r="K152" s="62"/>
      <c r="L152" s="2273" t="s">
        <v>3702</v>
      </c>
      <c r="M152" s="8">
        <v>1</v>
      </c>
      <c r="N152" s="593" t="s">
        <v>2122</v>
      </c>
      <c r="O152" s="2325"/>
      <c r="P152" s="791"/>
      <c r="Q152" s="473"/>
      <c r="R152" s="457"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61"/>
    </row>
    <row r="154" spans="1:18" s="51" customFormat="1" ht="12.6" customHeight="1">
      <c r="A154" s="2212" t="s">
        <v>3832</v>
      </c>
      <c r="B154" s="2213"/>
      <c r="C154" s="2213"/>
      <c r="D154" s="2213"/>
      <c r="E154" s="2213"/>
      <c r="F154" s="2213"/>
      <c r="G154" s="2213"/>
      <c r="H154" s="2213"/>
      <c r="I154" s="2213"/>
      <c r="J154" s="2213"/>
      <c r="K154" s="2213"/>
      <c r="L154" s="2213"/>
      <c r="M154" s="2213"/>
      <c r="N154" s="2213"/>
      <c r="O154" s="2213"/>
      <c r="P154" s="2214"/>
      <c r="Q154" s="561" t="s">
        <v>1333</v>
      </c>
    </row>
    <row r="155" spans="1:18" s="51" customFormat="1" ht="11.25" customHeight="1">
      <c r="A155" s="50"/>
      <c r="B155" s="100" t="s">
        <v>1997</v>
      </c>
      <c r="C155" s="115"/>
      <c r="D155" s="100"/>
      <c r="E155" s="116"/>
      <c r="F155" s="1162"/>
      <c r="G155" s="1162"/>
      <c r="H155" s="1162"/>
      <c r="I155" s="1162"/>
      <c r="J155" s="1162"/>
      <c r="K155" s="1162"/>
      <c r="L155" s="1162"/>
      <c r="M155" s="1162"/>
      <c r="N155" s="87"/>
      <c r="O155" s="83"/>
      <c r="P155" s="2"/>
      <c r="Q155" s="528"/>
    </row>
    <row r="156" spans="1:18" s="51" customFormat="1" ht="12.6" customHeight="1">
      <c r="A156" s="1419"/>
      <c r="B156" s="1420"/>
      <c r="C156" s="1420"/>
      <c r="D156" s="1420"/>
      <c r="E156" s="1420"/>
      <c r="F156" s="1420"/>
      <c r="G156" s="1420"/>
      <c r="H156" s="1420"/>
      <c r="I156" s="1420"/>
      <c r="J156" s="1420"/>
      <c r="K156" s="1420"/>
      <c r="L156" s="1420"/>
      <c r="M156" s="1420"/>
      <c r="N156" s="1420"/>
      <c r="O156" s="1420"/>
      <c r="P156" s="1421"/>
      <c r="Q156" s="561" t="s">
        <v>1333</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248</v>
      </c>
      <c r="B158" s="130" t="s">
        <v>2902</v>
      </c>
      <c r="C158" s="102"/>
      <c r="D158" s="69"/>
      <c r="E158" s="62"/>
      <c r="M158" s="2">
        <v>3</v>
      </c>
      <c r="N158" s="7"/>
      <c r="O158" s="7"/>
      <c r="P158" s="794"/>
      <c r="Q158" s="126" t="s">
        <v>464</v>
      </c>
    </row>
    <row r="159" spans="1:18" s="51" customFormat="1" ht="12" customHeight="1">
      <c r="A159" s="183"/>
      <c r="B159" s="681" t="s">
        <v>2914</v>
      </c>
      <c r="C159" s="102"/>
      <c r="D159" s="69"/>
      <c r="E159" s="62"/>
      <c r="G159" s="592" t="str">
        <f>'Part I-Project Information'!$H$81</f>
        <v>No</v>
      </c>
      <c r="J159" s="72"/>
      <c r="M159" s="2"/>
      <c r="N159" s="2"/>
      <c r="O159" s="139" t="s">
        <v>2682</v>
      </c>
      <c r="P159" s="139" t="s">
        <v>2682</v>
      </c>
      <c r="Q159" s="126"/>
    </row>
    <row r="160" spans="1:18" s="51" customFormat="1" ht="12" customHeight="1">
      <c r="A160" s="165"/>
      <c r="B160" s="65" t="s">
        <v>2504</v>
      </c>
      <c r="D160" s="40"/>
      <c r="N160" s="593"/>
      <c r="O160" s="2271" t="s">
        <v>3702</v>
      </c>
      <c r="P160" s="799"/>
      <c r="R160" s="457"/>
    </row>
    <row r="161" spans="1:18" s="51" customFormat="1" ht="12" customHeight="1">
      <c r="A161" s="165"/>
      <c r="B161" s="65" t="s">
        <v>3544</v>
      </c>
      <c r="D161" s="40"/>
      <c r="N161" s="593"/>
      <c r="O161" s="2273" t="s">
        <v>1611</v>
      </c>
      <c r="P161" s="801"/>
      <c r="R161" s="457"/>
    </row>
    <row r="162" spans="1:18" s="51" customFormat="1" ht="12" customHeight="1">
      <c r="A162" s="50"/>
      <c r="B162" s="57" t="s">
        <v>270</v>
      </c>
      <c r="C162" s="50"/>
      <c r="D162" s="56"/>
      <c r="E162" s="56"/>
      <c r="F162" s="56"/>
      <c r="G162" s="56"/>
      <c r="H162" s="44"/>
      <c r="I162" s="44"/>
      <c r="J162" s="44"/>
      <c r="K162" s="44"/>
      <c r="M162" s="54"/>
      <c r="N162" s="73"/>
      <c r="O162" s="4"/>
      <c r="P162" s="1161"/>
    </row>
    <row r="163" spans="1:18" s="51" customFormat="1" ht="12.75" customHeight="1">
      <c r="A163" s="2212" t="s">
        <v>1030</v>
      </c>
      <c r="B163" s="2213"/>
      <c r="C163" s="2213"/>
      <c r="D163" s="2213"/>
      <c r="E163" s="2213"/>
      <c r="F163" s="2213"/>
      <c r="G163" s="2213"/>
      <c r="H163" s="2213"/>
      <c r="I163" s="2213"/>
      <c r="J163" s="2213"/>
      <c r="K163" s="2213"/>
      <c r="L163" s="2213"/>
      <c r="M163" s="2213"/>
      <c r="N163" s="2213"/>
      <c r="O163" s="2213"/>
      <c r="P163" s="2214"/>
      <c r="Q163" s="561" t="s">
        <v>1333</v>
      </c>
    </row>
    <row r="164" spans="1:18" s="51" customFormat="1" ht="12" customHeight="1">
      <c r="B164" s="100" t="s">
        <v>1997</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1333</v>
      </c>
    </row>
    <row r="166" spans="1:18" ht="4.5" customHeight="1"/>
    <row r="167" spans="1:18" s="74" customFormat="1" ht="12.6" customHeight="1">
      <c r="A167" s="182" t="s">
        <v>249</v>
      </c>
      <c r="B167" s="122" t="s">
        <v>3327</v>
      </c>
      <c r="E167" s="679" t="s">
        <v>3216</v>
      </c>
      <c r="G167" s="136"/>
      <c r="H167" s="509"/>
      <c r="K167" s="89">
        <f>'Part VI-Revenues &amp; Expenses'!$M$62</f>
        <v>132</v>
      </c>
      <c r="L167" s="660" t="s">
        <v>1918</v>
      </c>
      <c r="M167" s="2">
        <v>3</v>
      </c>
      <c r="N167" s="481" t="str">
        <f>IF(OR($O167=$M167,$O167=0,$O167=""),"","***")</f>
        <v/>
      </c>
      <c r="O167" s="2327"/>
      <c r="P167" s="794"/>
      <c r="Q167" s="126" t="s">
        <v>464</v>
      </c>
      <c r="R167" s="31"/>
    </row>
    <row r="168" spans="1:18" s="74" customFormat="1" ht="12.6" customHeight="1">
      <c r="A168" s="182"/>
      <c r="B168" s="205" t="s">
        <v>3249</v>
      </c>
      <c r="C168" s="672"/>
      <c r="E168" s="715" t="str">
        <f>'Part I-Project Information'!$H$85</f>
        <v>Flexible</v>
      </c>
      <c r="G168" s="679" t="str">
        <f>IF(E168="Flexible","(NOTE: Only Rural pool applicants are eligible for this section.)","")</f>
        <v>(NOTE: Only Rural pool applicants are eligible for this section.)</v>
      </c>
      <c r="H168" s="509"/>
      <c r="I168" s="678"/>
      <c r="J168" s="660"/>
      <c r="K168" s="680">
        <f>'Part VI-Revenues &amp; Expenses'!$M$74/'Part VI-Revenues &amp; Expenses'!$M$62</f>
        <v>0</v>
      </c>
      <c r="L168" s="660" t="s">
        <v>3206</v>
      </c>
      <c r="M168" s="2"/>
      <c r="N168" s="481"/>
      <c r="O168" s="481"/>
      <c r="P168" s="481"/>
      <c r="Q168" s="126"/>
      <c r="R168" s="31"/>
    </row>
    <row r="169" spans="1:18" s="74" customFormat="1" ht="25.15" customHeight="1">
      <c r="A169" s="182"/>
      <c r="B169" s="1400" t="s">
        <v>2970</v>
      </c>
      <c r="C169" s="1535"/>
      <c r="D169" s="1535"/>
      <c r="E169" s="1535"/>
      <c r="F169" s="1535"/>
      <c r="G169" s="1535"/>
      <c r="H169" s="1535"/>
      <c r="I169" s="1535"/>
      <c r="J169" s="1535"/>
      <c r="K169" s="1535"/>
      <c r="L169" s="1535"/>
      <c r="M169" s="1535"/>
      <c r="N169" s="2"/>
      <c r="R169" s="457"/>
    </row>
    <row r="170" spans="1:18" s="51" customFormat="1" ht="13.9" customHeight="1">
      <c r="A170" s="50"/>
      <c r="B170" s="57" t="s">
        <v>270</v>
      </c>
      <c r="C170" s="50"/>
      <c r="D170" s="56"/>
      <c r="E170" s="56"/>
      <c r="F170" s="56"/>
      <c r="G170" s="56"/>
      <c r="H170" s="44"/>
      <c r="I170" s="44"/>
      <c r="J170" s="100" t="s">
        <v>1997</v>
      </c>
      <c r="M170" s="54"/>
      <c r="N170" s="73"/>
      <c r="O170" s="4"/>
      <c r="P170" s="1161"/>
    </row>
    <row r="171" spans="1:18" s="51" customFormat="1" ht="12" customHeight="1">
      <c r="A171" s="2212" t="s">
        <v>1030</v>
      </c>
      <c r="B171" s="2213"/>
      <c r="C171" s="2213"/>
      <c r="D171" s="2213"/>
      <c r="E171" s="2213"/>
      <c r="F171" s="2213"/>
      <c r="G171" s="2213"/>
      <c r="H171" s="2213"/>
      <c r="I171" s="2214"/>
      <c r="J171" s="1419"/>
      <c r="K171" s="1420"/>
      <c r="L171" s="1420"/>
      <c r="M171" s="1420"/>
      <c r="N171" s="1420"/>
      <c r="O171" s="1420"/>
      <c r="P171" s="1421"/>
      <c r="Q171" s="561" t="s">
        <v>1333</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1495</v>
      </c>
      <c r="B173" s="131" t="s">
        <v>1787</v>
      </c>
      <c r="D173" s="103"/>
      <c r="E173" s="103"/>
      <c r="G173" s="62"/>
      <c r="H173" s="62"/>
      <c r="I173" s="62"/>
      <c r="J173" s="64"/>
      <c r="K173" s="71"/>
      <c r="L173" s="457" t="str">
        <f>IF(OR($O173=$M173,$O173=0,$O173=""),"","* * Check Score! * *")</f>
        <v/>
      </c>
      <c r="M173" s="611">
        <v>1</v>
      </c>
      <c r="N173" s="481" t="str">
        <f>IF(OR($O173=$M173,$O173=0,$O173=""),"","***")</f>
        <v/>
      </c>
      <c r="O173" s="2327"/>
      <c r="P173" s="794"/>
      <c r="Q173" s="126" t="s">
        <v>464</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2119</v>
      </c>
      <c r="B175" s="160" t="s">
        <v>3531</v>
      </c>
      <c r="D175" s="138"/>
      <c r="E175" s="138"/>
      <c r="F175" s="138"/>
      <c r="J175" s="2360" t="s">
        <v>2694</v>
      </c>
      <c r="K175" s="2361"/>
      <c r="L175" s="2362"/>
      <c r="N175" s="593" t="s">
        <v>2119</v>
      </c>
      <c r="O175" s="2271" t="s">
        <v>3702</v>
      </c>
      <c r="P175" s="799"/>
    </row>
    <row r="176" spans="1:18" s="117" customFormat="1" ht="10.5" customHeight="1">
      <c r="A176" s="165" t="s">
        <v>2122</v>
      </c>
      <c r="B176" s="160" t="s">
        <v>3532</v>
      </c>
      <c r="D176" s="138"/>
      <c r="E176" s="138"/>
      <c r="F176" s="138"/>
      <c r="G176" s="138"/>
      <c r="L176" s="138"/>
      <c r="M176" s="138"/>
      <c r="N176" s="593" t="s">
        <v>2122</v>
      </c>
      <c r="O176" s="2272" t="s">
        <v>3702</v>
      </c>
      <c r="P176" s="800"/>
    </row>
    <row r="177" spans="1:18" s="117" customFormat="1" ht="10.5" customHeight="1">
      <c r="A177" s="165" t="s">
        <v>800</v>
      </c>
      <c r="B177" s="160" t="s">
        <v>3533</v>
      </c>
      <c r="D177" s="138"/>
      <c r="E177" s="138"/>
      <c r="F177" s="138"/>
      <c r="G177" s="138"/>
      <c r="H177" s="138"/>
      <c r="L177" s="138"/>
      <c r="M177" s="138"/>
      <c r="N177" s="593" t="s">
        <v>800</v>
      </c>
      <c r="O177" s="2272" t="s">
        <v>3702</v>
      </c>
      <c r="P177" s="800"/>
    </row>
    <row r="178" spans="1:18" s="117" customFormat="1" ht="10.5" customHeight="1">
      <c r="A178" s="165" t="s">
        <v>2254</v>
      </c>
      <c r="B178" s="160" t="s">
        <v>3534</v>
      </c>
      <c r="D178" s="138"/>
      <c r="E178" s="138"/>
      <c r="F178" s="138"/>
      <c r="G178" s="138"/>
      <c r="H178" s="138"/>
      <c r="I178" s="138"/>
      <c r="J178" s="138"/>
      <c r="K178" s="138"/>
      <c r="L178" s="138"/>
      <c r="M178" s="138"/>
      <c r="N178" s="593" t="s">
        <v>2254</v>
      </c>
      <c r="O178" s="2273" t="s">
        <v>3702</v>
      </c>
      <c r="P178" s="801"/>
    </row>
    <row r="179" spans="1:18" s="117" customFormat="1" ht="11.45" customHeight="1">
      <c r="A179" s="223" t="s">
        <v>3535</v>
      </c>
      <c r="B179" s="160"/>
      <c r="D179" s="138"/>
      <c r="E179" s="138"/>
      <c r="F179" s="138"/>
      <c r="G179" s="138"/>
      <c r="H179" s="138"/>
      <c r="I179" s="138"/>
      <c r="J179" s="138"/>
      <c r="K179" s="138"/>
      <c r="L179" s="138"/>
      <c r="M179" s="138"/>
      <c r="N179" s="593"/>
      <c r="O179" s="593"/>
      <c r="P179" s="593"/>
    </row>
    <row r="180" spans="1:18" s="51" customFormat="1" ht="10.5" customHeight="1">
      <c r="A180" s="50"/>
      <c r="B180" s="57" t="s">
        <v>270</v>
      </c>
      <c r="C180" s="50"/>
      <c r="D180" s="56"/>
      <c r="E180" s="56"/>
      <c r="F180" s="56"/>
      <c r="G180" s="56"/>
      <c r="H180" s="44"/>
      <c r="I180" s="44"/>
      <c r="J180" s="100" t="s">
        <v>1997</v>
      </c>
      <c r="M180" s="54"/>
      <c r="N180" s="73"/>
      <c r="O180" s="4"/>
      <c r="P180" s="1161"/>
    </row>
    <row r="181" spans="1:18" s="51" customFormat="1" ht="10.5" customHeight="1">
      <c r="A181" s="2212" t="s">
        <v>1030</v>
      </c>
      <c r="B181" s="2213"/>
      <c r="C181" s="2213"/>
      <c r="D181" s="2213"/>
      <c r="E181" s="2213"/>
      <c r="F181" s="2213"/>
      <c r="G181" s="2213"/>
      <c r="H181" s="2213"/>
      <c r="I181" s="2214"/>
      <c r="J181" s="1419"/>
      <c r="K181" s="1420"/>
      <c r="L181" s="1420"/>
      <c r="M181" s="1420"/>
      <c r="N181" s="1420"/>
      <c r="O181" s="1420"/>
      <c r="P181" s="1421"/>
      <c r="Q181" s="561" t="s">
        <v>1333</v>
      </c>
    </row>
    <row r="182" spans="1:18" ht="4.5" customHeight="1"/>
    <row r="183" spans="1:18" s="51" customFormat="1" ht="15">
      <c r="A183" s="182" t="s">
        <v>1786</v>
      </c>
      <c r="B183" s="131" t="s">
        <v>3331</v>
      </c>
      <c r="D183" s="103"/>
      <c r="E183" s="103"/>
      <c r="F183" s="62"/>
      <c r="G183" s="62"/>
      <c r="H183" s="62"/>
      <c r="I183" s="205" t="s">
        <v>3249</v>
      </c>
      <c r="J183" s="672"/>
      <c r="K183" s="74"/>
      <c r="L183" s="673" t="str">
        <f>'Part I-Project Information'!$H$85</f>
        <v>Flexible</v>
      </c>
      <c r="M183" s="4">
        <v>7</v>
      </c>
      <c r="N183" s="7"/>
      <c r="O183" s="76">
        <f>O190+O207+O209</f>
        <v>0</v>
      </c>
      <c r="P183" s="76">
        <f>P190+P207+P209</f>
        <v>0</v>
      </c>
      <c r="Q183" s="126" t="s">
        <v>464</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6" t="s">
        <v>2123</v>
      </c>
      <c r="C185" s="535" t="s">
        <v>3329</v>
      </c>
      <c r="E185" s="103"/>
      <c r="F185" s="62"/>
      <c r="G185" s="62"/>
      <c r="H185" s="62"/>
      <c r="I185" s="62"/>
      <c r="J185" s="64"/>
      <c r="K185" s="71"/>
      <c r="L185" s="67" t="str">
        <f>IF(M185&gt;14,"Over limit!","")</f>
        <v/>
      </c>
      <c r="N185" s="217" t="s">
        <v>2123</v>
      </c>
      <c r="O185" s="2271" t="s">
        <v>3705</v>
      </c>
      <c r="P185" s="799"/>
    </row>
    <row r="186" spans="1:18" s="117" customFormat="1" ht="10.5" customHeight="1">
      <c r="B186" s="546" t="s">
        <v>2125</v>
      </c>
      <c r="C186" s="117" t="s">
        <v>603</v>
      </c>
      <c r="N186" s="217" t="s">
        <v>2125</v>
      </c>
      <c r="O186" s="2272" t="s">
        <v>3705</v>
      </c>
      <c r="P186" s="800"/>
    </row>
    <row r="187" spans="1:18" s="117" customFormat="1" ht="10.5" customHeight="1">
      <c r="B187" s="546" t="s">
        <v>2708</v>
      </c>
      <c r="C187" s="117" t="s">
        <v>604</v>
      </c>
      <c r="N187" s="217" t="s">
        <v>2708</v>
      </c>
      <c r="O187" s="2272" t="s">
        <v>3705</v>
      </c>
      <c r="P187" s="800"/>
    </row>
    <row r="188" spans="1:18" s="117" customFormat="1" ht="10.5" customHeight="1">
      <c r="B188" s="546" t="s">
        <v>1302</v>
      </c>
      <c r="C188" s="117" t="s">
        <v>605</v>
      </c>
      <c r="N188" s="217" t="s">
        <v>1302</v>
      </c>
      <c r="O188" s="2272" t="s">
        <v>3705</v>
      </c>
      <c r="P188" s="800"/>
    </row>
    <row r="189" spans="1:18" s="117" customFormat="1" ht="10.5" customHeight="1">
      <c r="B189" s="546" t="s">
        <v>1303</v>
      </c>
      <c r="C189" s="117" t="s">
        <v>613</v>
      </c>
      <c r="N189" s="217" t="s">
        <v>1303</v>
      </c>
      <c r="O189" s="2273" t="s">
        <v>3705</v>
      </c>
      <c r="P189" s="801"/>
    </row>
    <row r="190" spans="1:18" s="51" customFormat="1" ht="11.25" customHeight="1">
      <c r="A190" s="165" t="s">
        <v>2119</v>
      </c>
      <c r="B190" s="223" t="s">
        <v>1974</v>
      </c>
      <c r="D190" s="48"/>
      <c r="E190" s="48"/>
      <c r="F190" s="40"/>
      <c r="G190" s="119"/>
      <c r="H190" s="119"/>
      <c r="I190" s="119"/>
      <c r="J190" s="48"/>
      <c r="K190" s="119"/>
      <c r="L190" s="40"/>
      <c r="M190" s="534">
        <v>4</v>
      </c>
      <c r="N190" s="593" t="s">
        <v>2119</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1" t="s">
        <v>2123</v>
      </c>
      <c r="C191" s="551" t="s">
        <v>2820</v>
      </c>
      <c r="I191" s="1510" t="s">
        <v>2127</v>
      </c>
      <c r="J191" s="1510"/>
      <c r="L191" s="1172" t="s">
        <v>2127</v>
      </c>
      <c r="M191" s="189"/>
      <c r="N191" s="217" t="s">
        <v>2123</v>
      </c>
    </row>
    <row r="192" spans="1:18" s="51" customFormat="1" ht="10.5" customHeight="1">
      <c r="A192" s="218"/>
      <c r="B192" s="128"/>
      <c r="C192" s="452" t="s">
        <v>2600</v>
      </c>
      <c r="D192" s="44" t="s">
        <v>1581</v>
      </c>
      <c r="H192" s="65"/>
      <c r="I192" s="2363"/>
      <c r="J192" s="2364"/>
      <c r="K192" s="220"/>
      <c r="L192" s="805"/>
      <c r="M192" s="85"/>
      <c r="N192" s="452" t="s">
        <v>2600</v>
      </c>
      <c r="O192" s="2271"/>
      <c r="P192" s="799"/>
      <c r="R192" s="457"/>
    </row>
    <row r="193" spans="1:18" ht="10.5" customHeight="1">
      <c r="A193" s="219"/>
      <c r="B193" s="94"/>
      <c r="C193" s="472" t="s">
        <v>2601</v>
      </c>
      <c r="D193" s="44" t="s">
        <v>1582</v>
      </c>
      <c r="H193" s="65"/>
      <c r="I193" s="2365"/>
      <c r="J193" s="2366"/>
      <c r="L193" s="806"/>
      <c r="M193" s="85"/>
      <c r="N193" s="472" t="s">
        <v>2601</v>
      </c>
      <c r="O193" s="2272"/>
      <c r="P193" s="800"/>
      <c r="R193" s="457"/>
    </row>
    <row r="194" spans="1:18" ht="10.5" customHeight="1">
      <c r="B194" s="546"/>
      <c r="C194" s="452" t="s">
        <v>2602</v>
      </c>
      <c r="D194" s="44" t="s">
        <v>2819</v>
      </c>
      <c r="H194" s="65"/>
      <c r="I194" s="2365"/>
      <c r="J194" s="2366"/>
      <c r="L194" s="806"/>
      <c r="M194" s="85"/>
      <c r="N194" s="452" t="s">
        <v>2602</v>
      </c>
      <c r="O194" s="2272"/>
      <c r="P194" s="800"/>
      <c r="R194" s="457"/>
    </row>
    <row r="195" spans="1:18" ht="10.5" customHeight="1">
      <c r="A195" s="219"/>
      <c r="B195" s="546"/>
      <c r="C195" s="452" t="s">
        <v>2603</v>
      </c>
      <c r="D195" s="44" t="s">
        <v>3330</v>
      </c>
      <c r="I195" s="2365"/>
      <c r="J195" s="2366"/>
      <c r="L195" s="806"/>
      <c r="M195" s="85"/>
      <c r="N195" s="452" t="s">
        <v>2603</v>
      </c>
      <c r="O195" s="2272"/>
      <c r="P195" s="800"/>
      <c r="R195" s="457"/>
    </row>
    <row r="196" spans="1:18" s="51" customFormat="1" ht="10.5" customHeight="1">
      <c r="A196" s="218"/>
      <c r="B196" s="546"/>
      <c r="C196" s="472" t="s">
        <v>2604</v>
      </c>
      <c r="D196" s="44" t="s">
        <v>1583</v>
      </c>
      <c r="H196" s="65"/>
      <c r="I196" s="2365"/>
      <c r="J196" s="2366"/>
      <c r="K196" s="220"/>
      <c r="L196" s="806"/>
      <c r="M196" s="85"/>
      <c r="N196" s="472" t="s">
        <v>2604</v>
      </c>
      <c r="O196" s="2272"/>
      <c r="P196" s="800"/>
      <c r="R196" s="457"/>
    </row>
    <row r="197" spans="1:18" ht="10.5" customHeight="1">
      <c r="B197" s="546"/>
      <c r="C197" s="452" t="s">
        <v>2620</v>
      </c>
      <c r="D197" s="44" t="s">
        <v>1584</v>
      </c>
      <c r="H197" s="65"/>
      <c r="I197" s="2365"/>
      <c r="J197" s="2366"/>
      <c r="L197" s="806"/>
      <c r="M197" s="85"/>
      <c r="N197" s="452" t="s">
        <v>2620</v>
      </c>
      <c r="O197" s="2272"/>
      <c r="P197" s="800"/>
      <c r="R197" s="457"/>
    </row>
    <row r="198" spans="1:18" ht="10.5" customHeight="1">
      <c r="A198" s="219"/>
      <c r="B198" s="546"/>
      <c r="C198" s="452" t="s">
        <v>2621</v>
      </c>
      <c r="D198" s="44" t="s">
        <v>1585</v>
      </c>
      <c r="H198" s="65"/>
      <c r="I198" s="2365"/>
      <c r="J198" s="2366"/>
      <c r="L198" s="806"/>
      <c r="M198" s="85"/>
      <c r="N198" s="452" t="s">
        <v>2621</v>
      </c>
      <c r="O198" s="2272"/>
      <c r="P198" s="800"/>
      <c r="R198" s="457"/>
    </row>
    <row r="199" spans="1:18" ht="10.5" customHeight="1">
      <c r="B199" s="546"/>
      <c r="C199" s="471" t="s">
        <v>2622</v>
      </c>
      <c r="D199" s="44" t="s">
        <v>2996</v>
      </c>
      <c r="H199" s="65"/>
      <c r="I199" s="2365"/>
      <c r="J199" s="2366"/>
      <c r="L199" s="806"/>
      <c r="M199" s="85"/>
      <c r="N199" s="471" t="s">
        <v>2622</v>
      </c>
      <c r="O199" s="2272"/>
      <c r="P199" s="800"/>
      <c r="R199" s="457"/>
    </row>
    <row r="200" spans="1:18" ht="10.5" customHeight="1">
      <c r="A200" s="219"/>
      <c r="B200" s="546"/>
      <c r="C200" s="471" t="s">
        <v>2623</v>
      </c>
      <c r="D200" s="44" t="s">
        <v>3536</v>
      </c>
      <c r="H200" s="65"/>
      <c r="I200" s="2365"/>
      <c r="J200" s="2366"/>
      <c r="L200" s="806"/>
      <c r="M200" s="85"/>
      <c r="N200" s="471" t="s">
        <v>2623</v>
      </c>
      <c r="O200" s="2272"/>
      <c r="P200" s="800"/>
      <c r="R200" s="457"/>
    </row>
    <row r="201" spans="1:18" ht="10.5" customHeight="1">
      <c r="A201" s="219"/>
      <c r="B201" s="546"/>
      <c r="C201" s="471" t="s">
        <v>2624</v>
      </c>
      <c r="D201" s="44" t="s">
        <v>3537</v>
      </c>
      <c r="H201" s="65"/>
      <c r="I201" s="2365"/>
      <c r="J201" s="2366"/>
      <c r="L201" s="806"/>
      <c r="M201" s="85"/>
      <c r="N201" s="471" t="s">
        <v>2624</v>
      </c>
      <c r="O201" s="2272"/>
      <c r="P201" s="800"/>
      <c r="R201" s="457"/>
    </row>
    <row r="202" spans="1:18" ht="10.5" customHeight="1" thickBot="1">
      <c r="A202" s="219"/>
      <c r="B202" s="546"/>
      <c r="C202" s="718" t="s">
        <v>635</v>
      </c>
      <c r="D202" s="539" t="s">
        <v>3538</v>
      </c>
      <c r="E202" s="540"/>
      <c r="F202" s="540"/>
      <c r="G202" s="540"/>
      <c r="H202" s="717"/>
      <c r="I202" s="2367">
        <v>250000</v>
      </c>
      <c r="J202" s="2368"/>
      <c r="K202" s="540"/>
      <c r="L202" s="807"/>
      <c r="M202" s="85"/>
      <c r="N202" s="471" t="s">
        <v>635</v>
      </c>
      <c r="O202" s="2273" t="s">
        <v>3705</v>
      </c>
      <c r="P202" s="801"/>
      <c r="R202" s="457"/>
    </row>
    <row r="203" spans="1:18" ht="10.5" customHeight="1" thickBot="1">
      <c r="A203" s="219"/>
      <c r="B203" s="546"/>
      <c r="D203" s="537" t="s">
        <v>2822</v>
      </c>
      <c r="H203" s="65"/>
      <c r="I203" s="2369">
        <f>SUM(I192:J202)</f>
        <v>250000</v>
      </c>
      <c r="J203" s="2370"/>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2125</v>
      </c>
      <c r="C205" s="551" t="s">
        <v>2821</v>
      </c>
      <c r="D205" s="537" t="s">
        <v>2823</v>
      </c>
      <c r="I205" s="1519">
        <f>'Part IV-Uses of Funds'!$G$130</f>
        <v>13472490.989599999</v>
      </c>
      <c r="J205" s="1520"/>
      <c r="M205" s="189"/>
      <c r="N205" s="31"/>
      <c r="O205" s="31"/>
      <c r="P205" s="31"/>
    </row>
    <row r="206" spans="1:18" ht="10.5" customHeight="1">
      <c r="B206" s="217"/>
      <c r="C206" s="536"/>
      <c r="D206" s="549" t="s">
        <v>2824</v>
      </c>
      <c r="G206" s="543"/>
      <c r="H206" s="543"/>
      <c r="I206" s="1511">
        <f>IF($I205=0,0,$I203/$I205)</f>
        <v>1.8556330836887243E-2</v>
      </c>
      <c r="J206" s="1512"/>
      <c r="L206" s="538">
        <f>IF($I205=0,0,$L203/$I205)</f>
        <v>0</v>
      </c>
      <c r="M206" s="189"/>
      <c r="N206" s="31"/>
      <c r="O206" s="31"/>
      <c r="P206" s="31"/>
    </row>
    <row r="207" spans="1:18" s="51" customFormat="1" ht="12.75" customHeight="1">
      <c r="A207" s="165" t="s">
        <v>2122</v>
      </c>
      <c r="B207" s="223" t="s">
        <v>2911</v>
      </c>
      <c r="D207" s="47"/>
      <c r="E207" s="44"/>
      <c r="F207" s="611"/>
      <c r="H207" s="44"/>
      <c r="I207" s="611"/>
      <c r="J207" s="38"/>
      <c r="K207" s="38"/>
      <c r="L207" s="38"/>
      <c r="M207" s="85">
        <v>1</v>
      </c>
      <c r="N207" s="593" t="s">
        <v>2122</v>
      </c>
      <c r="O207" s="2271"/>
      <c r="P207" s="790"/>
      <c r="Q207" s="473" t="s">
        <v>2948</v>
      </c>
    </row>
    <row r="208" spans="1:18" s="51" customFormat="1" ht="11.25" customHeight="1">
      <c r="A208" s="165"/>
      <c r="B208" s="62" t="s">
        <v>3332</v>
      </c>
      <c r="C208" s="62"/>
      <c r="D208" s="62"/>
      <c r="E208" s="62"/>
      <c r="F208" s="62"/>
      <c r="G208" s="62"/>
      <c r="H208" s="62"/>
      <c r="I208" s="62"/>
      <c r="J208" s="62"/>
      <c r="K208" s="62"/>
      <c r="L208" s="62"/>
      <c r="M208" s="62"/>
      <c r="N208" s="62"/>
      <c r="O208" s="2273" t="s">
        <v>3702</v>
      </c>
      <c r="P208" s="801"/>
    </row>
    <row r="209" spans="1:18" s="51" customFormat="1" ht="12.75" customHeight="1">
      <c r="A209" s="165" t="s">
        <v>800</v>
      </c>
      <c r="B209" s="223" t="s">
        <v>687</v>
      </c>
      <c r="D209" s="47"/>
      <c r="E209" s="44"/>
      <c r="F209" s="611"/>
      <c r="G209" s="611"/>
      <c r="H209" s="611"/>
      <c r="I209" s="611"/>
      <c r="J209" s="38"/>
      <c r="K209" s="38"/>
      <c r="L209" s="38"/>
      <c r="M209" s="534">
        <v>2</v>
      </c>
      <c r="N209" s="593" t="s">
        <v>800</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2892</v>
      </c>
      <c r="E210" s="541"/>
      <c r="I210" s="2371"/>
      <c r="J210" s="2372"/>
      <c r="K210" s="538">
        <f>IF($I210=0,0,$I210/$I205)</f>
        <v>0</v>
      </c>
      <c r="L210" s="809"/>
      <c r="M210" s="1525">
        <f>IF($L210=0,0,$L210/$I205)</f>
        <v>0</v>
      </c>
      <c r="N210" s="1526"/>
      <c r="O210" s="108"/>
      <c r="P210" s="108"/>
    </row>
    <row r="211" spans="1:18" s="51" customFormat="1" ht="10.5" customHeight="1">
      <c r="A211" s="218"/>
      <c r="B211" s="44" t="s">
        <v>3382</v>
      </c>
      <c r="E211" s="2267"/>
      <c r="F211" s="2268"/>
      <c r="G211" s="2268"/>
      <c r="H211" s="2268"/>
      <c r="I211" s="2268"/>
      <c r="J211" s="2269"/>
      <c r="K211" s="541" t="s">
        <v>1383</v>
      </c>
      <c r="L211" s="2373" t="s">
        <v>3333</v>
      </c>
      <c r="M211" s="2374"/>
      <c r="N211" s="2375"/>
    </row>
    <row r="212" spans="1:18" ht="11.25" customHeight="1">
      <c r="A212" s="219"/>
      <c r="B212" s="475" t="s">
        <v>2510</v>
      </c>
      <c r="D212" s="476"/>
      <c r="E212" s="2376"/>
      <c r="F212" s="2377"/>
      <c r="G212" s="2377"/>
      <c r="H212" s="2377"/>
      <c r="I212" s="2377"/>
      <c r="J212" s="2377"/>
      <c r="K212" s="2377"/>
      <c r="L212" s="2377"/>
      <c r="M212" s="2377"/>
      <c r="N212" s="2377"/>
      <c r="O212" s="2377"/>
      <c r="P212" s="2378"/>
    </row>
    <row r="213" spans="1:18" s="51" customFormat="1" ht="10.5" customHeight="1">
      <c r="A213" s="50"/>
      <c r="B213" s="57" t="s">
        <v>270</v>
      </c>
      <c r="C213" s="50"/>
      <c r="D213" s="56"/>
      <c r="E213" s="56"/>
      <c r="F213" s="56"/>
      <c r="G213" s="56"/>
      <c r="H213" s="44"/>
      <c r="I213" s="44"/>
      <c r="J213" s="44"/>
      <c r="K213" s="44"/>
      <c r="M213" s="54"/>
      <c r="N213" s="73"/>
      <c r="O213" s="4"/>
      <c r="P213" s="1161"/>
    </row>
    <row r="214" spans="1:18" s="51" customFormat="1" ht="10.5" customHeight="1">
      <c r="A214" s="2212" t="s">
        <v>1030</v>
      </c>
      <c r="B214" s="2213"/>
      <c r="C214" s="2213"/>
      <c r="D214" s="2213"/>
      <c r="E214" s="2213"/>
      <c r="F214" s="2213"/>
      <c r="G214" s="2213"/>
      <c r="H214" s="2213"/>
      <c r="I214" s="2213"/>
      <c r="J214" s="2213"/>
      <c r="K214" s="2213"/>
      <c r="L214" s="2213"/>
      <c r="M214" s="2213"/>
      <c r="N214" s="2213"/>
      <c r="O214" s="2213"/>
      <c r="P214" s="2214"/>
      <c r="Q214" s="561" t="s">
        <v>1333</v>
      </c>
    </row>
    <row r="215" spans="1:18" s="119" customFormat="1" ht="10.5" customHeight="1">
      <c r="A215" s="50"/>
      <c r="B215" s="114" t="s">
        <v>1997</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1333</v>
      </c>
    </row>
    <row r="217" spans="1:18" ht="3" customHeight="1"/>
    <row r="218" spans="1:18" s="51" customFormat="1" ht="15">
      <c r="A218" s="182" t="s">
        <v>1788</v>
      </c>
      <c r="B218" s="122" t="s">
        <v>1791</v>
      </c>
      <c r="C218" s="78"/>
      <c r="E218" s="49"/>
      <c r="G218" s="44"/>
      <c r="H218" s="44"/>
      <c r="I218" s="47"/>
      <c r="J218" s="56"/>
      <c r="K218" s="56"/>
      <c r="L218" s="457" t="str">
        <f>IF(OR($O218=$M218,$O218=0,$O218=""),"","* * Check Score! * *")</f>
        <v/>
      </c>
      <c r="M218" s="2">
        <v>3</v>
      </c>
      <c r="N218" s="119"/>
      <c r="O218" s="54"/>
      <c r="P218" s="794"/>
      <c r="Q218" s="126" t="s">
        <v>464</v>
      </c>
      <c r="R218" s="457"/>
    </row>
    <row r="219" spans="1:18" s="51" customFormat="1" ht="12" customHeight="1">
      <c r="A219" s="165" t="s">
        <v>2119</v>
      </c>
      <c r="B219" s="205" t="s">
        <v>2998</v>
      </c>
      <c r="D219" s="40"/>
      <c r="G219" s="65" t="s">
        <v>2504</v>
      </c>
      <c r="M219" s="85">
        <v>3</v>
      </c>
      <c r="N219" s="593" t="s">
        <v>2119</v>
      </c>
      <c r="O219" s="2271" t="s">
        <v>3702</v>
      </c>
      <c r="P219" s="799"/>
      <c r="R219" s="457"/>
    </row>
    <row r="220" spans="1:18" s="51" customFormat="1" ht="23.25" customHeight="1">
      <c r="A220" s="763" t="s">
        <v>1441</v>
      </c>
      <c r="B220" s="1527" t="s">
        <v>3601</v>
      </c>
      <c r="C220" s="1528"/>
      <c r="D220" s="1528"/>
      <c r="E220" s="1528"/>
      <c r="F220" s="1528"/>
      <c r="G220" s="1528"/>
      <c r="H220" s="1528"/>
      <c r="I220" s="1528"/>
      <c r="J220" s="1528"/>
      <c r="K220" s="1528"/>
      <c r="L220" s="1528"/>
      <c r="M220" s="54"/>
      <c r="N220" s="73"/>
      <c r="O220" s="2273" t="s">
        <v>3702</v>
      </c>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2122</v>
      </c>
      <c r="B222" s="205" t="s">
        <v>2997</v>
      </c>
      <c r="D222" s="40"/>
      <c r="E222" s="40"/>
      <c r="F222" s="40"/>
      <c r="G222" s="205" t="s">
        <v>3249</v>
      </c>
      <c r="I222" s="827" t="str">
        <f>'Part I-Project Information'!$H$85</f>
        <v>Flexible</v>
      </c>
      <c r="R222" s="457"/>
    </row>
    <row r="223" spans="1:18" s="51" customFormat="1" ht="12" customHeight="1">
      <c r="A223" s="165"/>
      <c r="B223" s="65" t="s">
        <v>2504</v>
      </c>
      <c r="D223" s="40"/>
      <c r="M223" s="128">
        <v>3</v>
      </c>
      <c r="N223" s="593" t="s">
        <v>2122</v>
      </c>
      <c r="O223" s="2271" t="s">
        <v>3702</v>
      </c>
      <c r="P223" s="799"/>
      <c r="R223" s="457"/>
    </row>
    <row r="224" spans="1:18" s="51" customFormat="1" ht="23.25" customHeight="1">
      <c r="A224" s="763"/>
      <c r="B224" s="1527" t="s">
        <v>3601</v>
      </c>
      <c r="C224" s="1528"/>
      <c r="D224" s="1528"/>
      <c r="E224" s="1528"/>
      <c r="F224" s="1528"/>
      <c r="G224" s="1528"/>
      <c r="H224" s="1528"/>
      <c r="I224" s="1528"/>
      <c r="J224" s="1528"/>
      <c r="K224" s="1528"/>
      <c r="L224" s="1528"/>
      <c r="M224" s="54"/>
      <c r="N224" s="73"/>
      <c r="O224" s="2273" t="s">
        <v>3702</v>
      </c>
      <c r="P224" s="801"/>
    </row>
    <row r="225" spans="1:18" s="51" customFormat="1" ht="10.5" customHeight="1">
      <c r="A225" s="50"/>
      <c r="B225" s="57" t="s">
        <v>270</v>
      </c>
      <c r="C225" s="50"/>
      <c r="D225" s="56"/>
      <c r="E225" s="56"/>
      <c r="F225" s="56"/>
      <c r="G225" s="56"/>
      <c r="H225" s="44"/>
      <c r="I225" s="44"/>
      <c r="J225" s="44"/>
      <c r="K225" s="44"/>
      <c r="M225" s="54"/>
      <c r="N225" s="73"/>
      <c r="O225" s="4"/>
      <c r="P225" s="1161"/>
    </row>
    <row r="226" spans="1:18" s="51" customFormat="1" ht="12.75" customHeight="1">
      <c r="A226" s="2212" t="s">
        <v>1030</v>
      </c>
      <c r="B226" s="2213"/>
      <c r="C226" s="2213"/>
      <c r="D226" s="2213"/>
      <c r="E226" s="2213"/>
      <c r="F226" s="2213"/>
      <c r="G226" s="2213"/>
      <c r="H226" s="2213"/>
      <c r="I226" s="2213"/>
      <c r="J226" s="2213"/>
      <c r="K226" s="2213"/>
      <c r="L226" s="2213"/>
      <c r="M226" s="2213"/>
      <c r="N226" s="2213"/>
      <c r="O226" s="2213"/>
      <c r="P226" s="2214"/>
      <c r="Q226" s="561" t="s">
        <v>1333</v>
      </c>
    </row>
    <row r="227" spans="1:18" s="119" customFormat="1" ht="10.5" customHeight="1">
      <c r="A227" s="50"/>
      <c r="B227" s="114" t="s">
        <v>1997</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1333</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1789</v>
      </c>
      <c r="B230" s="130" t="s">
        <v>2971</v>
      </c>
      <c r="C230" s="102"/>
      <c r="D230" s="69"/>
      <c r="E230" s="62"/>
      <c r="J230" s="72"/>
      <c r="M230" s="2">
        <v>3</v>
      </c>
      <c r="N230" s="7"/>
      <c r="O230" s="89">
        <f>MIN($M230,O231+O235)</f>
        <v>3</v>
      </c>
      <c r="P230" s="89">
        <f>MIN($M230,P231+P235)</f>
        <v>0</v>
      </c>
      <c r="Q230" s="126" t="s">
        <v>464</v>
      </c>
    </row>
    <row r="231" spans="1:18" s="51" customFormat="1" ht="12" customHeight="1">
      <c r="A231" s="165" t="s">
        <v>2119</v>
      </c>
      <c r="B231" s="205" t="s">
        <v>3334</v>
      </c>
      <c r="D231" s="40"/>
      <c r="E231" s="40"/>
      <c r="F231" s="40"/>
      <c r="J231" s="556" t="s">
        <v>3546</v>
      </c>
      <c r="K231" s="724">
        <f>'Part VI-Revenues &amp; Expenses'!$I$57/'Part VI-Revenues &amp; Expenses'!$M$58</f>
        <v>0</v>
      </c>
      <c r="L231" s="619" t="str">
        <f>IF(OR($O231=$M231,$O231=0,$O231=""),"","* * Check Score! * *")</f>
        <v/>
      </c>
      <c r="M231" s="7">
        <v>3</v>
      </c>
      <c r="N231" s="593" t="s">
        <v>2119</v>
      </c>
      <c r="O231" s="2379">
        <v>3</v>
      </c>
      <c r="P231" s="810"/>
      <c r="Q231" s="473" t="s">
        <v>2948</v>
      </c>
      <c r="R231" s="126"/>
    </row>
    <row r="232" spans="1:18" s="504" customFormat="1" ht="33" customHeight="1">
      <c r="A232" s="170"/>
      <c r="B232" s="617" t="s">
        <v>2123</v>
      </c>
      <c r="C232" s="1413" t="s">
        <v>3335</v>
      </c>
      <c r="D232" s="1413"/>
      <c r="E232" s="1413"/>
      <c r="F232" s="1413"/>
      <c r="G232" s="1413"/>
      <c r="H232" s="1413"/>
      <c r="I232" s="1413"/>
      <c r="J232" s="1413"/>
      <c r="K232" s="1413"/>
      <c r="L232" s="1413"/>
      <c r="M232" s="1413"/>
      <c r="N232" s="474" t="s">
        <v>2123</v>
      </c>
      <c r="O232" s="2322" t="s">
        <v>3833</v>
      </c>
      <c r="P232" s="1168"/>
      <c r="Q232" s="682"/>
      <c r="R232" s="671"/>
    </row>
    <row r="233" spans="1:18" s="547" customFormat="1" ht="34.5" customHeight="1">
      <c r="A233" s="763" t="s">
        <v>1441</v>
      </c>
      <c r="B233" s="617" t="s">
        <v>2125</v>
      </c>
      <c r="C233" s="1413" t="s">
        <v>3336</v>
      </c>
      <c r="D233" s="1413"/>
      <c r="E233" s="1413"/>
      <c r="F233" s="1413"/>
      <c r="G233" s="1413"/>
      <c r="H233" s="1413"/>
      <c r="I233" s="1413"/>
      <c r="J233" s="1413"/>
      <c r="K233" s="1413"/>
      <c r="L233" s="1413"/>
      <c r="M233" s="1413"/>
      <c r="N233" s="474" t="s">
        <v>2125</v>
      </c>
      <c r="O233" s="2273" t="s">
        <v>3702</v>
      </c>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2122</v>
      </c>
      <c r="B235" s="205" t="s">
        <v>2972</v>
      </c>
      <c r="D235" s="48"/>
      <c r="F235" s="44" t="s">
        <v>3337</v>
      </c>
      <c r="H235" s="2380" t="s">
        <v>3338</v>
      </c>
      <c r="I235" s="2381"/>
      <c r="J235" s="2381"/>
      <c r="K235" s="2382"/>
      <c r="L235" s="619" t="str">
        <f>IF(OR($O235=$M235,$O235=0,$O235=""),"","* * Check Score! * *")</f>
        <v/>
      </c>
      <c r="M235" s="7">
        <v>3</v>
      </c>
      <c r="N235" s="593" t="s">
        <v>2122</v>
      </c>
      <c r="O235" s="2326"/>
      <c r="P235" s="811"/>
      <c r="Q235" s="473" t="s">
        <v>2948</v>
      </c>
      <c r="R235" s="457"/>
    </row>
    <row r="236" spans="1:18" s="51" customFormat="1" ht="12" customHeight="1">
      <c r="A236" s="50"/>
      <c r="B236" s="57" t="s">
        <v>270</v>
      </c>
      <c r="C236" s="50"/>
      <c r="D236" s="56"/>
      <c r="E236" s="56"/>
      <c r="F236" s="56"/>
      <c r="G236" s="56"/>
      <c r="H236" s="44"/>
      <c r="I236" s="44"/>
      <c r="J236" s="44"/>
      <c r="K236" s="44"/>
      <c r="M236" s="54"/>
      <c r="N236" s="73"/>
      <c r="O236" s="4"/>
      <c r="P236" s="1161"/>
    </row>
    <row r="237" spans="1:18" s="51" customFormat="1" ht="12" customHeight="1">
      <c r="A237" s="2212" t="s">
        <v>1030</v>
      </c>
      <c r="B237" s="2213"/>
      <c r="C237" s="2213"/>
      <c r="D237" s="2213"/>
      <c r="E237" s="2213"/>
      <c r="F237" s="2213"/>
      <c r="G237" s="2213"/>
      <c r="H237" s="2213"/>
      <c r="I237" s="2213"/>
      <c r="J237" s="2213"/>
      <c r="K237" s="2213"/>
      <c r="L237" s="2213"/>
      <c r="M237" s="2213"/>
      <c r="N237" s="2213"/>
      <c r="O237" s="2213"/>
      <c r="P237" s="2214"/>
      <c r="Q237" s="561" t="s">
        <v>1333</v>
      </c>
    </row>
    <row r="238" spans="1:18" s="51" customFormat="1" ht="12" customHeight="1">
      <c r="B238" s="100" t="s">
        <v>1997</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1333</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1790</v>
      </c>
      <c r="B241" s="122" t="s">
        <v>2973</v>
      </c>
      <c r="D241" s="48"/>
      <c r="F241" s="38"/>
      <c r="G241" s="119"/>
      <c r="H241" s="72" t="s">
        <v>420</v>
      </c>
      <c r="K241" s="119"/>
      <c r="L241" s="44"/>
      <c r="M241" s="2">
        <v>2</v>
      </c>
      <c r="N241" s="593"/>
      <c r="O241" s="544">
        <f>MIN($M241,O242+O246)</f>
        <v>0</v>
      </c>
      <c r="P241" s="544">
        <f>MIN($M241,P242+P246)</f>
        <v>0</v>
      </c>
      <c r="Q241" s="126" t="s">
        <v>464</v>
      </c>
      <c r="R241" s="457" t="str">
        <f>IF(OR($O242=$M241,$O242=0,$O242=""),"","* * Check Score! * *")</f>
        <v/>
      </c>
    </row>
    <row r="242" spans="1:18" s="504" customFormat="1" ht="12.75" customHeight="1">
      <c r="A242" s="764" t="s">
        <v>2119</v>
      </c>
      <c r="B242" s="475" t="s">
        <v>3339</v>
      </c>
      <c r="D242" s="475"/>
      <c r="E242" s="2383" t="s">
        <v>3588</v>
      </c>
      <c r="F242" s="2384"/>
      <c r="G242" s="2384"/>
      <c r="H242" s="2385"/>
      <c r="J242" s="475" t="s">
        <v>3343</v>
      </c>
      <c r="L242" s="761">
        <f>'Part III-Sources of Funds'!$H$42</f>
        <v>0</v>
      </c>
      <c r="M242" s="505">
        <v>2</v>
      </c>
      <c r="N242" s="192" t="s">
        <v>2119</v>
      </c>
      <c r="O242" s="2326"/>
      <c r="P242" s="811"/>
      <c r="Q242" s="213" t="s">
        <v>2948</v>
      </c>
    </row>
    <row r="243" spans="1:18" s="504" customFormat="1" ht="12.75" customHeight="1">
      <c r="A243" s="503"/>
      <c r="B243" s="552"/>
      <c r="J243" s="475" t="s">
        <v>3342</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3340</v>
      </c>
      <c r="L244" s="762">
        <f>'Part VI-Revenues &amp; Expenses'!$M$62</f>
        <v>132</v>
      </c>
      <c r="M244" s="505"/>
      <c r="N244" s="505"/>
      <c r="O244" s="505"/>
      <c r="P244" s="505"/>
      <c r="Q244" s="213"/>
    </row>
    <row r="245" spans="1:18" s="504" customFormat="1" ht="12.75" customHeight="1">
      <c r="A245" s="725" t="s">
        <v>1441</v>
      </c>
      <c r="B245" s="552"/>
      <c r="F245" s="545"/>
      <c r="G245" s="60"/>
      <c r="H245" s="684"/>
      <c r="I245" s="759"/>
      <c r="J245" s="760" t="s">
        <v>3341</v>
      </c>
      <c r="L245" s="683">
        <f>L243/L244</f>
        <v>0</v>
      </c>
      <c r="M245" s="505"/>
      <c r="N245" s="505"/>
      <c r="O245" s="505"/>
      <c r="P245" s="505"/>
      <c r="Q245" s="213"/>
    </row>
    <row r="246" spans="1:18" s="504" customFormat="1" ht="22.5" customHeight="1">
      <c r="A246" s="764" t="s">
        <v>2122</v>
      </c>
      <c r="B246" s="1462" t="s">
        <v>3015</v>
      </c>
      <c r="C246" s="1462"/>
      <c r="D246" s="1462"/>
      <c r="E246" s="1462"/>
      <c r="F246" s="1462"/>
      <c r="G246" s="1462"/>
      <c r="H246" s="1462"/>
      <c r="I246" s="1462"/>
      <c r="J246" s="1462"/>
      <c r="K246" s="1462"/>
      <c r="L246" s="1462"/>
      <c r="M246" s="505">
        <v>1</v>
      </c>
      <c r="N246" s="192" t="s">
        <v>2122</v>
      </c>
      <c r="O246" s="2326"/>
      <c r="P246" s="811"/>
      <c r="Q246" s="213" t="s">
        <v>2948</v>
      </c>
    </row>
    <row r="247" spans="1:18" s="51" customFormat="1" ht="12" customHeight="1">
      <c r="A247" s="50"/>
      <c r="B247" s="57" t="s">
        <v>270</v>
      </c>
      <c r="C247" s="50"/>
      <c r="D247" s="56"/>
      <c r="E247" s="56"/>
      <c r="F247" s="56"/>
      <c r="G247" s="56"/>
      <c r="H247" s="44"/>
      <c r="I247" s="44"/>
      <c r="J247" s="44"/>
      <c r="K247" s="44"/>
      <c r="M247" s="54"/>
      <c r="N247" s="73"/>
      <c r="O247" s="4"/>
      <c r="P247" s="1161"/>
    </row>
    <row r="248" spans="1:18" s="51" customFormat="1" ht="12" customHeight="1">
      <c r="A248" s="2212" t="s">
        <v>1030</v>
      </c>
      <c r="B248" s="2213"/>
      <c r="C248" s="2213"/>
      <c r="D248" s="2213"/>
      <c r="E248" s="2213"/>
      <c r="F248" s="2213"/>
      <c r="G248" s="2213"/>
      <c r="H248" s="2213"/>
      <c r="I248" s="2213"/>
      <c r="J248" s="2213"/>
      <c r="K248" s="2213"/>
      <c r="L248" s="2213"/>
      <c r="M248" s="2213"/>
      <c r="N248" s="2213"/>
      <c r="O248" s="2213"/>
      <c r="P248" s="2214"/>
      <c r="Q248" s="561" t="s">
        <v>1333</v>
      </c>
    </row>
    <row r="249" spans="1:18" s="51" customFormat="1" ht="12" customHeight="1">
      <c r="B249" s="100" t="s">
        <v>1997</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1333</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1792</v>
      </c>
      <c r="B252" s="123" t="s">
        <v>2825</v>
      </c>
      <c r="C252" s="64"/>
      <c r="D252" s="136"/>
      <c r="E252" s="136"/>
      <c r="I252" s="1154" t="s">
        <v>3540</v>
      </c>
      <c r="J252" s="49"/>
      <c r="K252" s="49"/>
      <c r="M252" s="719">
        <v>5</v>
      </c>
      <c r="P252" s="811"/>
      <c r="Q252" s="126" t="s">
        <v>464</v>
      </c>
    </row>
    <row r="253" spans="1:18" s="51" customFormat="1" ht="12" customHeight="1">
      <c r="A253" s="183"/>
      <c r="D253" s="1487" t="s">
        <v>3380</v>
      </c>
      <c r="E253" s="1487"/>
      <c r="F253" s="1523">
        <f>'Part IV-Uses of Funds'!J171</f>
        <v>799296.5</v>
      </c>
      <c r="G253" s="2086"/>
      <c r="M253" s="719"/>
      <c r="Q253" s="126"/>
    </row>
    <row r="254" spans="1:18" s="51" customFormat="1" ht="12" customHeight="1">
      <c r="A254" s="183"/>
      <c r="H254" s="49"/>
      <c r="I254" s="1154" t="s">
        <v>3539</v>
      </c>
      <c r="J254" s="49"/>
      <c r="K254" s="49"/>
      <c r="M254" s="85">
        <v>18</v>
      </c>
      <c r="N254" s="7"/>
      <c r="O254" s="753">
        <f>MIN($M254,(O255+O258+O261+O263+O266+O269))</f>
        <v>7</v>
      </c>
      <c r="P254" s="753">
        <f>MIN($M254,(P255+P258+P261+P263+P266+P269))</f>
        <v>0</v>
      </c>
      <c r="Q254" s="126"/>
    </row>
    <row r="255" spans="1:18" s="51" customFormat="1" ht="12" customHeight="1">
      <c r="A255" s="755"/>
      <c r="B255" s="690" t="s">
        <v>2119</v>
      </c>
      <c r="C255" s="1516" t="s">
        <v>3344</v>
      </c>
      <c r="D255" s="1516"/>
      <c r="E255" s="1516"/>
      <c r="F255" s="1516"/>
      <c r="G255" s="1516"/>
      <c r="H255" s="1516"/>
      <c r="I255" s="1516"/>
      <c r="J255" s="1516"/>
      <c r="K255" s="1516"/>
      <c r="L255" s="1516"/>
      <c r="M255" s="688">
        <v>6</v>
      </c>
      <c r="N255" s="758"/>
      <c r="O255" s="2386"/>
      <c r="P255" s="1521"/>
      <c r="Q255" s="213"/>
    </row>
    <row r="256" spans="1:18" s="504" customFormat="1" ht="36" customHeight="1">
      <c r="A256" s="725" t="s">
        <v>1441</v>
      </c>
      <c r="B256" s="170" t="s">
        <v>2122</v>
      </c>
      <c r="C256" s="1434" t="s">
        <v>3596</v>
      </c>
      <c r="D256" s="1434"/>
      <c r="E256" s="1434"/>
      <c r="F256" s="1434"/>
      <c r="G256" s="1434"/>
      <c r="H256" s="1434"/>
      <c r="I256" s="1434"/>
      <c r="J256" s="1434"/>
      <c r="K256" s="1434"/>
      <c r="L256" s="1434"/>
      <c r="M256" s="670">
        <v>5</v>
      </c>
      <c r="N256" s="686"/>
      <c r="O256" s="2387"/>
      <c r="P256" s="1522"/>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800</v>
      </c>
      <c r="C258" s="1517" t="s">
        <v>3346</v>
      </c>
      <c r="D258" s="1517"/>
      <c r="E258" s="1517"/>
      <c r="F258" s="1517"/>
      <c r="G258" s="1517"/>
      <c r="H258" s="1517"/>
      <c r="I258" s="1517"/>
      <c r="J258" s="1517"/>
      <c r="K258" s="1517"/>
      <c r="L258" s="1517"/>
      <c r="M258" s="688">
        <v>4</v>
      </c>
      <c r="N258" s="689"/>
      <c r="O258" s="2386">
        <v>4</v>
      </c>
      <c r="P258" s="1521"/>
      <c r="Q258" s="213" t="s">
        <v>2948</v>
      </c>
    </row>
    <row r="259" spans="1:17" s="504" customFormat="1" ht="34.5" customHeight="1">
      <c r="A259" s="725" t="s">
        <v>1441</v>
      </c>
      <c r="B259" s="749"/>
      <c r="C259" s="1434" t="s">
        <v>3345</v>
      </c>
      <c r="D259" s="1434"/>
      <c r="E259" s="1434"/>
      <c r="F259" s="1434"/>
      <c r="G259" s="1434"/>
      <c r="H259" s="1434"/>
      <c r="I259" s="1434"/>
      <c r="J259" s="1434"/>
      <c r="K259" s="1434"/>
      <c r="L259" s="1434"/>
      <c r="M259" s="750">
        <v>2</v>
      </c>
      <c r="N259" s="751"/>
      <c r="O259" s="2387"/>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2254</v>
      </c>
      <c r="C261" s="1517" t="s">
        <v>3347</v>
      </c>
      <c r="D261" s="1517"/>
      <c r="E261" s="1517"/>
      <c r="F261" s="1517"/>
      <c r="G261" s="1517"/>
      <c r="H261" s="1517"/>
      <c r="I261" s="1517"/>
      <c r="J261" s="1517"/>
      <c r="K261" s="1517"/>
      <c r="L261" s="1517"/>
      <c r="M261" s="688">
        <v>1</v>
      </c>
      <c r="N261" s="756"/>
      <c r="O261" s="2388">
        <v>1</v>
      </c>
      <c r="P261" s="812"/>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1858</v>
      </c>
      <c r="C263" s="1517" t="s">
        <v>3350</v>
      </c>
      <c r="D263" s="1517"/>
      <c r="E263" s="1517"/>
      <c r="F263" s="1517"/>
      <c r="G263" s="1517"/>
      <c r="H263" s="1517"/>
      <c r="I263" s="1517"/>
      <c r="J263" s="1517"/>
      <c r="K263" s="1517"/>
      <c r="L263" s="1517"/>
      <c r="M263" s="688">
        <v>2</v>
      </c>
      <c r="N263" s="691"/>
      <c r="O263" s="2386"/>
      <c r="P263" s="1521"/>
      <c r="Q263" s="213" t="s">
        <v>2948</v>
      </c>
    </row>
    <row r="264" spans="1:17" s="51" customFormat="1" ht="12" customHeight="1">
      <c r="A264" s="725" t="s">
        <v>1441</v>
      </c>
      <c r="B264" s="222"/>
      <c r="C264" s="1518" t="s">
        <v>3348</v>
      </c>
      <c r="D264" s="1518"/>
      <c r="E264" s="1518"/>
      <c r="F264" s="1518"/>
      <c r="G264" s="1518"/>
      <c r="H264" s="1518"/>
      <c r="I264" s="1518"/>
      <c r="J264" s="1518"/>
      <c r="K264" s="1518"/>
      <c r="L264" s="1518"/>
      <c r="M264" s="752">
        <v>1</v>
      </c>
      <c r="N264" s="136"/>
      <c r="O264" s="2387"/>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1859</v>
      </c>
      <c r="C266" s="1517" t="s">
        <v>3349</v>
      </c>
      <c r="D266" s="1517"/>
      <c r="E266" s="1517"/>
      <c r="F266" s="1517"/>
      <c r="G266" s="1517"/>
      <c r="H266" s="1517"/>
      <c r="I266" s="1517"/>
      <c r="J266" s="1517"/>
      <c r="K266" s="1517"/>
      <c r="L266" s="1517"/>
      <c r="M266" s="688">
        <v>3</v>
      </c>
      <c r="N266" s="756"/>
      <c r="O266" s="2386"/>
      <c r="P266" s="1521"/>
      <c r="Q266" s="213" t="s">
        <v>2948</v>
      </c>
    </row>
    <row r="267" spans="1:17" s="504" customFormat="1" ht="12.75" customHeight="1">
      <c r="A267" s="725" t="s">
        <v>1441</v>
      </c>
      <c r="B267" s="749"/>
      <c r="C267" s="1434" t="s">
        <v>3351</v>
      </c>
      <c r="D267" s="1434"/>
      <c r="E267" s="1434"/>
      <c r="F267" s="1434"/>
      <c r="G267" s="1434"/>
      <c r="H267" s="1434"/>
      <c r="I267" s="1434"/>
      <c r="J267" s="1434"/>
      <c r="K267" s="1434"/>
      <c r="L267" s="1434"/>
      <c r="M267" s="750">
        <v>1</v>
      </c>
      <c r="N267" s="751"/>
      <c r="O267" s="2387"/>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2082</v>
      </c>
      <c r="C269" s="1516" t="s">
        <v>3352</v>
      </c>
      <c r="D269" s="1516"/>
      <c r="E269" s="1516"/>
      <c r="F269" s="1516"/>
      <c r="G269" s="1516"/>
      <c r="H269" s="1516"/>
      <c r="I269" s="1516"/>
      <c r="J269" s="1516"/>
      <c r="K269" s="1516"/>
      <c r="L269" s="1516"/>
      <c r="M269" s="757">
        <v>2</v>
      </c>
      <c r="N269" s="758"/>
      <c r="O269" s="2388">
        <v>2</v>
      </c>
      <c r="P269" s="812"/>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270</v>
      </c>
      <c r="C271" s="50"/>
      <c r="D271" s="56"/>
      <c r="E271" s="56"/>
      <c r="F271" s="56"/>
      <c r="G271" s="56"/>
      <c r="H271" s="44"/>
      <c r="I271" s="44"/>
      <c r="J271" s="44"/>
      <c r="K271" s="44"/>
      <c r="M271" s="54"/>
      <c r="N271" s="73"/>
      <c r="O271" s="4"/>
      <c r="P271" s="1161"/>
    </row>
    <row r="272" spans="1:17" s="51" customFormat="1" ht="41.25" customHeight="1">
      <c r="A272" s="2212" t="s">
        <v>3834</v>
      </c>
      <c r="B272" s="2213"/>
      <c r="C272" s="2213"/>
      <c r="D272" s="2213"/>
      <c r="E272" s="2213"/>
      <c r="F272" s="2213"/>
      <c r="G272" s="2213"/>
      <c r="H272" s="2213"/>
      <c r="I272" s="2213"/>
      <c r="J272" s="2213"/>
      <c r="K272" s="2213"/>
      <c r="L272" s="2213"/>
      <c r="M272" s="2213"/>
      <c r="N272" s="2213"/>
      <c r="O272" s="2213"/>
      <c r="P272" s="2214"/>
      <c r="Q272" s="561" t="s">
        <v>1333</v>
      </c>
    </row>
    <row r="273" spans="1:19" s="51" customFormat="1" ht="11.25" customHeight="1">
      <c r="A273" s="50"/>
      <c r="B273" s="100" t="s">
        <v>1997</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1333</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3353</v>
      </c>
      <c r="B276" s="123" t="s">
        <v>3354</v>
      </c>
      <c r="C276" s="64"/>
      <c r="D276" s="136"/>
      <c r="E276" s="136"/>
      <c r="F276" s="49"/>
      <c r="G276" s="49"/>
      <c r="H276" s="49"/>
      <c r="I276" s="49"/>
      <c r="J276" s="49"/>
      <c r="K276" s="49"/>
      <c r="L276" s="49"/>
      <c r="M276" s="8">
        <v>1</v>
      </c>
      <c r="N276" s="217"/>
      <c r="O276" s="2327"/>
      <c r="P276" s="794"/>
      <c r="Q276" s="126" t="s">
        <v>464</v>
      </c>
      <c r="R276" s="213" t="s">
        <v>2948</v>
      </c>
    </row>
    <row r="277" spans="1:19" s="51" customFormat="1" ht="12" customHeight="1">
      <c r="B277" s="1488" t="s">
        <v>3599</v>
      </c>
      <c r="C277" s="1488"/>
      <c r="D277" s="1488"/>
      <c r="E277" s="1488"/>
      <c r="F277" s="1488"/>
      <c r="G277" s="1488"/>
      <c r="H277" s="1488"/>
      <c r="I277" s="1488"/>
      <c r="J277" s="1488"/>
      <c r="K277" s="1488"/>
      <c r="L277" s="1488"/>
      <c r="M277" s="1488"/>
      <c r="N277" s="1488"/>
      <c r="O277" s="2208" t="s">
        <v>3702</v>
      </c>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3365</v>
      </c>
      <c r="C280" s="828"/>
      <c r="D280" s="1513"/>
      <c r="E280" s="1514"/>
      <c r="F280" s="1514"/>
      <c r="G280" s="1515"/>
      <c r="H280" s="1166" t="s">
        <v>3367</v>
      </c>
      <c r="I280" s="2389"/>
      <c r="J280" s="1175" t="s">
        <v>3366</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3405</v>
      </c>
      <c r="C282" s="1498"/>
      <c r="D282" s="1499"/>
      <c r="E282" s="1496" t="s">
        <v>3364</v>
      </c>
      <c r="F282" s="1497"/>
      <c r="I282" s="1560" t="s">
        <v>3401</v>
      </c>
      <c r="J282" s="1561"/>
      <c r="M282" s="1500" t="s">
        <v>3406</v>
      </c>
      <c r="N282" s="1500"/>
      <c r="O282" s="1500"/>
      <c r="P282" s="1500"/>
      <c r="R282" s="119"/>
      <c r="S282" s="119"/>
    </row>
    <row r="283" spans="1:19" s="44" customFormat="1" ht="10.5" customHeight="1">
      <c r="A283" s="55"/>
      <c r="B283" s="539" t="s">
        <v>3403</v>
      </c>
      <c r="C283" s="360"/>
      <c r="D283" s="360"/>
      <c r="E283" s="777" t="s">
        <v>3359</v>
      </c>
      <c r="F283" s="778" t="s">
        <v>3360</v>
      </c>
      <c r="G283" s="1170" t="s">
        <v>3402</v>
      </c>
      <c r="I283" s="777" t="s">
        <v>3359</v>
      </c>
      <c r="J283" s="778" t="s">
        <v>3360</v>
      </c>
      <c r="K283" s="1170" t="s">
        <v>3402</v>
      </c>
      <c r="M283" s="1559" t="s">
        <v>3403</v>
      </c>
      <c r="N283" s="1559"/>
      <c r="O283" s="44" t="s">
        <v>3404</v>
      </c>
      <c r="P283" s="826" t="s">
        <v>3407</v>
      </c>
      <c r="R283" s="1170"/>
      <c r="S283" s="119"/>
    </row>
    <row r="284" spans="1:19" s="65" customFormat="1" ht="10.5" customHeight="1">
      <c r="A284" s="55"/>
      <c r="B284" s="532" t="s">
        <v>3355</v>
      </c>
      <c r="E284" s="2390"/>
      <c r="F284" s="2391"/>
      <c r="G284" s="710">
        <f>E284+F284</f>
        <v>0</v>
      </c>
      <c r="I284" s="2390"/>
      <c r="J284" s="2391"/>
      <c r="K284" s="710">
        <f>I284+J284</f>
        <v>0</v>
      </c>
      <c r="M284" s="1489" t="str">
        <f>IF(AND(G284=0,K284=0),"n/a",IF(G284&gt;K284,"Yes", "No"))</f>
        <v>n/a</v>
      </c>
      <c r="N284" s="1501"/>
      <c r="O284" s="1502" t="str">
        <f>IF(AND(M284="n/a",M285="n/a",M286="n/a",M287="n/a",M288="n/a"),"n/a",IF(AND(M284="Yes",M285="Yes",M286="Yes",M287="Yes",M288="Yes"),"Yes",IF(OR(M284="No",M285="No",M286="No",M287="No",M288="No"), "No", "No")))</f>
        <v>n/a</v>
      </c>
      <c r="R284" s="51"/>
      <c r="S284" s="51"/>
    </row>
    <row r="285" spans="1:19" s="65" customFormat="1" ht="10.5" customHeight="1">
      <c r="A285" s="55"/>
      <c r="B285" s="532" t="s">
        <v>3361</v>
      </c>
      <c r="E285" s="2392"/>
      <c r="F285" s="2393"/>
      <c r="G285" s="711">
        <f>E285+F285</f>
        <v>0</v>
      </c>
      <c r="I285" s="2392"/>
      <c r="J285" s="2393"/>
      <c r="K285" s="711">
        <f>I285+J285</f>
        <v>0</v>
      </c>
      <c r="M285" s="1492" t="str">
        <f>IF(AND(G285=0,K285=0),"n/a",IF(G285&gt;K285,"Yes", "No"))</f>
        <v>n/a</v>
      </c>
      <c r="N285" s="1505"/>
      <c r="O285" s="1503"/>
      <c r="R285" s="51"/>
      <c r="S285" s="51"/>
    </row>
    <row r="286" spans="1:19" s="65" customFormat="1" ht="10.5" customHeight="1">
      <c r="A286" s="55"/>
      <c r="B286" s="532" t="s">
        <v>3356</v>
      </c>
      <c r="E286" s="2394"/>
      <c r="F286" s="2395"/>
      <c r="G286" s="711">
        <f>E286+F286</f>
        <v>0</v>
      </c>
      <c r="I286" s="2394"/>
      <c r="J286" s="2395"/>
      <c r="K286" s="711">
        <f>I286+J286</f>
        <v>0</v>
      </c>
      <c r="M286" s="1492" t="str">
        <f>IF(AND(G286=0,K286=0),"n/a",IF(G286&gt;K286,"Yes", "No"))</f>
        <v>n/a</v>
      </c>
      <c r="N286" s="1505"/>
      <c r="O286" s="1503"/>
      <c r="R286" s="51"/>
      <c r="S286" s="51"/>
    </row>
    <row r="287" spans="1:19" s="65" customFormat="1" ht="10.5" customHeight="1">
      <c r="A287" s="55"/>
      <c r="B287" s="532" t="s">
        <v>3357</v>
      </c>
      <c r="E287" s="2394"/>
      <c r="F287" s="2395"/>
      <c r="G287" s="711">
        <f>E287+F287</f>
        <v>0</v>
      </c>
      <c r="I287" s="2394"/>
      <c r="J287" s="2395"/>
      <c r="K287" s="711">
        <f>I287+J287</f>
        <v>0</v>
      </c>
      <c r="M287" s="1492" t="str">
        <f>IF(AND(G287=0,K287=0),"n/a",IF(G287&gt;K287,"Yes", "No"))</f>
        <v>n/a</v>
      </c>
      <c r="N287" s="1505"/>
      <c r="O287" s="1503"/>
    </row>
    <row r="288" spans="1:19" s="65" customFormat="1" ht="10.5" customHeight="1">
      <c r="A288" s="55"/>
      <c r="B288" s="532" t="s">
        <v>3358</v>
      </c>
      <c r="E288" s="2396"/>
      <c r="F288" s="2397"/>
      <c r="G288" s="712">
        <f>E288+F288</f>
        <v>0</v>
      </c>
      <c r="I288" s="2396"/>
      <c r="J288" s="2397"/>
      <c r="K288" s="712">
        <f>I288+J288</f>
        <v>0</v>
      </c>
      <c r="M288" s="1494" t="str">
        <f>IF(AND(G288=0,K288=0),"n/a",IF(G288&gt;K288,"Yes", "No"))</f>
        <v>n/a</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3355</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3361</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3356</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3357</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3358</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3362</v>
      </c>
      <c r="F296" s="1509"/>
      <c r="G296" s="780"/>
      <c r="H296" s="780"/>
      <c r="I296" s="1508" t="s">
        <v>3401</v>
      </c>
      <c r="J296" s="1509"/>
      <c r="K296" s="780"/>
      <c r="P296" s="159"/>
      <c r="R296" s="119"/>
      <c r="S296" s="119"/>
    </row>
    <row r="297" spans="1:19" s="65" customFormat="1" ht="10.5" customHeight="1">
      <c r="A297" s="55"/>
      <c r="B297" s="1169" t="s">
        <v>3355</v>
      </c>
      <c r="C297" s="509"/>
      <c r="D297" s="509"/>
      <c r="E297" s="2390"/>
      <c r="F297" s="2391"/>
      <c r="G297" s="710">
        <f>E297+F297</f>
        <v>0</v>
      </c>
      <c r="H297" s="776"/>
      <c r="I297" s="2390"/>
      <c r="J297" s="2391"/>
      <c r="K297" s="710">
        <f>I297+J297</f>
        <v>0</v>
      </c>
      <c r="M297" s="1489" t="str">
        <f>IF(AND(G297=0,K297=0),"n/a",IF(G297&gt;K297,"Yes", "No"))</f>
        <v>n/a</v>
      </c>
      <c r="N297" s="1490"/>
      <c r="O297" s="1491" t="str">
        <f>IF(AND(M297="n/a",M298="n/a",M299="n/a",M300="n/a",M301="n/a"),"n/a",IF(AND(M297="Yes",M298="Yes",M299="Yes",M300="Yes",M301="Yes"),"Yes",IF(OR(M297="No",M298="No",M299="No",M300="No",M301="No"), "No", "No")))</f>
        <v>n/a</v>
      </c>
      <c r="P297" s="150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9" t="s">
        <v>3361</v>
      </c>
      <c r="C298" s="509"/>
      <c r="D298" s="509"/>
      <c r="E298" s="2392"/>
      <c r="F298" s="2393"/>
      <c r="G298" s="711">
        <f>E298+F298</f>
        <v>0</v>
      </c>
      <c r="I298" s="2392"/>
      <c r="J298" s="2393"/>
      <c r="K298" s="711">
        <f>I298+J298</f>
        <v>0</v>
      </c>
      <c r="M298" s="1492" t="str">
        <f>IF(AND(G298=0,K298=0),"n/a",IF(G298&gt;K298,"Yes", "No"))</f>
        <v>n/a</v>
      </c>
      <c r="N298" s="1493"/>
      <c r="O298" s="1491"/>
      <c r="P298" s="1507"/>
      <c r="R298" s="51"/>
      <c r="S298" s="51"/>
    </row>
    <row r="299" spans="1:19" s="65" customFormat="1" ht="10.5" customHeight="1">
      <c r="A299" s="55"/>
      <c r="B299" s="1169" t="s">
        <v>3356</v>
      </c>
      <c r="C299" s="509"/>
      <c r="D299" s="509"/>
      <c r="E299" s="2394"/>
      <c r="F299" s="2395"/>
      <c r="G299" s="711">
        <f>E299+F299</f>
        <v>0</v>
      </c>
      <c r="I299" s="2394"/>
      <c r="J299" s="2395"/>
      <c r="K299" s="711">
        <f>I299+J299</f>
        <v>0</v>
      </c>
      <c r="M299" s="1492" t="str">
        <f>IF(AND(G299=0,K299=0),"n/a",IF(G299&gt;K299,"Yes", "No"))</f>
        <v>n/a</v>
      </c>
      <c r="N299" s="1493"/>
      <c r="O299" s="1491"/>
      <c r="P299" s="1507"/>
      <c r="R299" s="51"/>
      <c r="S299" s="51"/>
    </row>
    <row r="300" spans="1:19" s="65" customFormat="1" ht="10.5" customHeight="1">
      <c r="A300" s="55"/>
      <c r="B300" s="1169" t="s">
        <v>3357</v>
      </c>
      <c r="C300" s="509"/>
      <c r="D300" s="509"/>
      <c r="E300" s="2394"/>
      <c r="F300" s="2395"/>
      <c r="G300" s="711">
        <f>E300+F300</f>
        <v>0</v>
      </c>
      <c r="I300" s="2394"/>
      <c r="J300" s="2395"/>
      <c r="K300" s="711">
        <f>I300+J300</f>
        <v>0</v>
      </c>
      <c r="M300" s="1492" t="str">
        <f>IF(AND(G300=0,K300=0),"n/a",IF(G300&gt;K300,"Yes", "No"))</f>
        <v>n/a</v>
      </c>
      <c r="N300" s="1493"/>
      <c r="O300" s="1491"/>
      <c r="P300" s="1507"/>
      <c r="R300" s="51"/>
      <c r="S300" s="51"/>
    </row>
    <row r="301" spans="1:19" s="65" customFormat="1" ht="10.5" customHeight="1">
      <c r="A301" s="55"/>
      <c r="B301" s="1169" t="s">
        <v>3358</v>
      </c>
      <c r="C301" s="509"/>
      <c r="D301" s="509"/>
      <c r="E301" s="2396"/>
      <c r="F301" s="2397"/>
      <c r="G301" s="712">
        <f>E301+F301</f>
        <v>0</v>
      </c>
      <c r="I301" s="2396"/>
      <c r="J301" s="2397"/>
      <c r="K301" s="712">
        <f>I301+J301</f>
        <v>0</v>
      </c>
      <c r="M301" s="1494" t="str">
        <f>IF(AND(G301=0,K301=0),"n/a",IF(G301&gt;K301,"Yes", "No"))</f>
        <v>n/a</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3355</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3361</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3356</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3357</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3358</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3363</v>
      </c>
      <c r="F309" s="1509"/>
      <c r="G309" s="780"/>
      <c r="H309" s="780"/>
      <c r="I309" s="1508" t="s">
        <v>3401</v>
      </c>
      <c r="J309" s="1509"/>
      <c r="K309" s="780"/>
      <c r="P309" s="159"/>
      <c r="R309" s="119"/>
      <c r="S309" s="119"/>
    </row>
    <row r="310" spans="1:19" s="65" customFormat="1" ht="10.5" customHeight="1">
      <c r="A310" s="55"/>
      <c r="B310" s="1169" t="s">
        <v>3355</v>
      </c>
      <c r="C310" s="509"/>
      <c r="D310" s="509"/>
      <c r="E310" s="2390"/>
      <c r="F310" s="2391"/>
      <c r="G310" s="710">
        <f>E310+F310</f>
        <v>0</v>
      </c>
      <c r="I310" s="2390"/>
      <c r="J310" s="2391"/>
      <c r="K310" s="710">
        <f>I310+J310</f>
        <v>0</v>
      </c>
      <c r="M310" s="1489" t="str">
        <f>IF(AND(G310=0,K310=0),"n/a",IF(G310&gt;K310,"Yes", "No"))</f>
        <v>n/a</v>
      </c>
      <c r="N310" s="1490"/>
      <c r="O310" s="1491" t="str">
        <f>IF(AND(M310="n/a",M311="n/a",M312="n/a",M313="n/a",M314="n/a"),"n/a",IF(AND(M310="Yes",M311="Yes",M312="Yes",M313="Yes",M314="Yes"),"Yes",IF(OR(M310="No",M311="No",M312="No",M313="No",M314="No"), "No", "No")))</f>
        <v>n/a</v>
      </c>
      <c r="P310" s="159"/>
      <c r="R310" s="51"/>
      <c r="S310" s="51"/>
    </row>
    <row r="311" spans="1:19" s="65" customFormat="1" ht="10.5" customHeight="1">
      <c r="A311" s="55"/>
      <c r="B311" s="1169" t="s">
        <v>3361</v>
      </c>
      <c r="C311" s="509"/>
      <c r="D311" s="509"/>
      <c r="E311" s="2392"/>
      <c r="F311" s="2393"/>
      <c r="G311" s="711">
        <f>E311+F311</f>
        <v>0</v>
      </c>
      <c r="I311" s="2392"/>
      <c r="J311" s="2393"/>
      <c r="K311" s="711">
        <f>I311+J311</f>
        <v>0</v>
      </c>
      <c r="M311" s="1492" t="str">
        <f>IF(AND(G311=0,K311=0),"n/a",IF(G311&gt;K311,"Yes", "No"))</f>
        <v>n/a</v>
      </c>
      <c r="N311" s="1493"/>
      <c r="O311" s="1491"/>
      <c r="P311" s="159"/>
      <c r="R311" s="51"/>
      <c r="S311" s="51"/>
    </row>
    <row r="312" spans="1:19" s="65" customFormat="1" ht="10.5" customHeight="1">
      <c r="A312" s="55"/>
      <c r="B312" s="532" t="s">
        <v>3356</v>
      </c>
      <c r="E312" s="2394"/>
      <c r="F312" s="2395"/>
      <c r="G312" s="711">
        <f>E312+F312</f>
        <v>0</v>
      </c>
      <c r="I312" s="2394"/>
      <c r="J312" s="2395"/>
      <c r="K312" s="711">
        <f>I312+J312</f>
        <v>0</v>
      </c>
      <c r="M312" s="1492" t="str">
        <f>IF(AND(G312=0,K312=0),"n/a",IF(G312&gt;K312,"Yes", "No"))</f>
        <v>n/a</v>
      </c>
      <c r="N312" s="1493"/>
      <c r="O312" s="1491"/>
      <c r="P312" s="159"/>
      <c r="R312" s="51"/>
      <c r="S312" s="51"/>
    </row>
    <row r="313" spans="1:19" s="65" customFormat="1" ht="10.5" customHeight="1">
      <c r="A313" s="55"/>
      <c r="B313" s="532" t="s">
        <v>3357</v>
      </c>
      <c r="E313" s="2394"/>
      <c r="F313" s="2395"/>
      <c r="G313" s="711">
        <f>E313+F313</f>
        <v>0</v>
      </c>
      <c r="I313" s="2394"/>
      <c r="J313" s="2395"/>
      <c r="K313" s="711">
        <f>I313+J313</f>
        <v>0</v>
      </c>
      <c r="M313" s="1492" t="str">
        <f>IF(AND(G313=0,K313=0),"n/a",IF(G313&gt;K313,"Yes", "No"))</f>
        <v>n/a</v>
      </c>
      <c r="N313" s="1493"/>
      <c r="O313" s="1491"/>
      <c r="P313" s="159"/>
      <c r="R313" s="51"/>
      <c r="S313" s="51"/>
    </row>
    <row r="314" spans="1:19" s="65" customFormat="1" ht="10.5" customHeight="1">
      <c r="A314" s="55"/>
      <c r="B314" s="532" t="s">
        <v>3358</v>
      </c>
      <c r="E314" s="2396"/>
      <c r="F314" s="2397"/>
      <c r="G314" s="712">
        <f>E314+F314</f>
        <v>0</v>
      </c>
      <c r="I314" s="2396"/>
      <c r="J314" s="2397"/>
      <c r="K314" s="712">
        <f>I314+J314</f>
        <v>0</v>
      </c>
      <c r="M314" s="1494" t="str">
        <f>IF(AND(G314=0,K314=0),"n/a",IF(G314&gt;K314,"Yes", "No"))</f>
        <v>n/a</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3355</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3361</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3356</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3357</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3358</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270</v>
      </c>
      <c r="C321" s="50"/>
      <c r="D321" s="56"/>
      <c r="E321" s="56"/>
      <c r="F321" s="56"/>
      <c r="G321" s="56"/>
      <c r="H321" s="44"/>
      <c r="I321" s="44"/>
      <c r="J321" s="44"/>
      <c r="K321" s="44"/>
      <c r="M321" s="54"/>
      <c r="N321" s="73"/>
      <c r="O321" s="4"/>
      <c r="P321" s="1161"/>
    </row>
    <row r="322" spans="1:18" s="51" customFormat="1" ht="10.5" customHeight="1">
      <c r="A322" s="2212" t="s">
        <v>1030</v>
      </c>
      <c r="B322" s="2213"/>
      <c r="C322" s="2213"/>
      <c r="D322" s="2213"/>
      <c r="E322" s="2213"/>
      <c r="F322" s="2213"/>
      <c r="G322" s="2213"/>
      <c r="H322" s="2213"/>
      <c r="I322" s="2213"/>
      <c r="J322" s="2213"/>
      <c r="K322" s="2213"/>
      <c r="L322" s="2213"/>
      <c r="M322" s="2213"/>
      <c r="N322" s="2213"/>
      <c r="O322" s="2213"/>
      <c r="P322" s="2214"/>
      <c r="Q322" s="561" t="s">
        <v>1333</v>
      </c>
    </row>
    <row r="323" spans="1:18" s="51" customFormat="1" ht="10.5" customHeight="1">
      <c r="A323" s="50"/>
      <c r="B323" s="100" t="s">
        <v>1997</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1333</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3370</v>
      </c>
      <c r="B326" s="123" t="s">
        <v>3369</v>
      </c>
      <c r="C326" s="64"/>
      <c r="D326" s="136"/>
      <c r="E326" s="136"/>
      <c r="F326" s="49"/>
      <c r="G326" s="49"/>
      <c r="H326" s="49"/>
      <c r="I326" s="49"/>
      <c r="J326" s="49"/>
      <c r="K326" s="49"/>
      <c r="M326" s="8">
        <v>2</v>
      </c>
      <c r="N326" s="217"/>
      <c r="O326" s="2327"/>
      <c r="P326" s="794"/>
      <c r="Q326" s="126" t="s">
        <v>464</v>
      </c>
      <c r="R326" s="44" t="s">
        <v>2948</v>
      </c>
    </row>
    <row r="327" spans="1:18" s="65" customFormat="1" ht="9" customHeight="1">
      <c r="H327" s="55"/>
      <c r="I327" s="55"/>
      <c r="J327" s="55"/>
      <c r="K327" s="55"/>
      <c r="L327" s="55"/>
      <c r="R327" s="692"/>
    </row>
    <row r="328" spans="1:18" s="65" customFormat="1" ht="12" customHeight="1">
      <c r="A328" s="55"/>
      <c r="I328" s="65" t="s">
        <v>3375</v>
      </c>
      <c r="K328" s="1566" t="str">
        <f>'Part I-Project Information'!F27</f>
        <v>Macon</v>
      </c>
      <c r="L328" s="1567"/>
      <c r="M328" s="1568"/>
      <c r="R328" s="692"/>
    </row>
    <row r="329" spans="1:18" s="65" customFormat="1" ht="12" customHeight="1">
      <c r="A329" s="165" t="s">
        <v>2119</v>
      </c>
      <c r="C329" s="722" t="s">
        <v>3379</v>
      </c>
      <c r="G329" s="2398"/>
      <c r="I329" s="1558" t="s">
        <v>3376</v>
      </c>
      <c r="J329" s="1558"/>
      <c r="K329" s="1562" t="str">
        <f>'Part I-Project Information'!J28</f>
        <v>Bibb</v>
      </c>
      <c r="L329" s="1563"/>
      <c r="M329" s="1564"/>
      <c r="R329" s="692"/>
    </row>
    <row r="330" spans="1:18" s="65" customFormat="1" ht="12" customHeight="1">
      <c r="A330" s="165"/>
      <c r="C330" s="722"/>
      <c r="I330" s="532" t="s">
        <v>3377</v>
      </c>
      <c r="K330" s="1562" t="str">
        <f>'Part I-Project Information'!O29</f>
        <v>Macon</v>
      </c>
      <c r="L330" s="1563"/>
      <c r="M330" s="1564"/>
      <c r="R330" s="692"/>
    </row>
    <row r="331" spans="1:18" s="65" customFormat="1" ht="12.75" customHeight="1">
      <c r="A331" s="170" t="s">
        <v>2122</v>
      </c>
      <c r="B331" s="608" t="s">
        <v>3374</v>
      </c>
      <c r="C331" s="1169"/>
      <c r="D331" s="685"/>
      <c r="E331" s="685"/>
      <c r="G331" s="2336"/>
      <c r="I331" s="532" t="s">
        <v>3590</v>
      </c>
      <c r="K331" s="1562" t="str">
        <f>VLOOKUP('Part I-Project Information'!J28,'Part I-Project Information'!C179:F338,4)</f>
        <v>MSA</v>
      </c>
      <c r="L331" s="1563"/>
      <c r="M331" s="1564"/>
      <c r="R331" s="692"/>
    </row>
    <row r="332" spans="1:18" s="65" customFormat="1" ht="12.75" customHeight="1">
      <c r="A332" s="55"/>
      <c r="B332" s="608" t="s">
        <v>3373</v>
      </c>
      <c r="C332" s="1169"/>
      <c r="D332" s="685"/>
      <c r="E332" s="685"/>
      <c r="F332" s="55"/>
      <c r="G332" s="55"/>
      <c r="I332" s="65" t="s">
        <v>3591</v>
      </c>
      <c r="K332" s="1565" t="str">
        <f>'Part I-Project Information'!K29</f>
        <v>Urban</v>
      </c>
      <c r="L332" s="2399"/>
      <c r="M332" s="2400"/>
      <c r="R332" s="692"/>
    </row>
    <row r="333" spans="1:18" s="65" customFormat="1" ht="12.75" customHeight="1">
      <c r="A333" s="55"/>
      <c r="B333" s="608"/>
      <c r="C333" s="1169"/>
      <c r="D333" s="685"/>
      <c r="E333" s="685"/>
      <c r="F333" s="55"/>
      <c r="G333" s="55"/>
      <c r="I333" s="65" t="s">
        <v>3589</v>
      </c>
      <c r="K333" s="1565">
        <f>'Part I-Project Information'!H67</f>
        <v>0</v>
      </c>
      <c r="L333" s="2399"/>
      <c r="M333" s="2400"/>
      <c r="R333" s="692"/>
    </row>
    <row r="334" spans="1:18" s="65" customFormat="1" ht="15" customHeight="1">
      <c r="H334" s="55"/>
      <c r="I334" s="55"/>
      <c r="J334" s="55"/>
      <c r="K334" s="55"/>
      <c r="L334" s="55"/>
      <c r="R334" s="692"/>
    </row>
    <row r="335" spans="1:18" s="65" customFormat="1" ht="12" customHeight="1">
      <c r="A335" s="55"/>
      <c r="B335" s="55"/>
      <c r="C335" s="2401" t="s">
        <v>3371</v>
      </c>
      <c r="D335" s="2402" t="s">
        <v>3372</v>
      </c>
      <c r="E335" s="2402"/>
      <c r="F335" s="2402"/>
      <c r="G335" s="2402"/>
      <c r="H335" s="2402"/>
      <c r="I335" s="2402"/>
      <c r="J335" s="2402"/>
      <c r="K335" s="2402"/>
      <c r="L335" s="2401" t="s">
        <v>1711</v>
      </c>
      <c r="M335" s="2401" t="s">
        <v>2782</v>
      </c>
      <c r="R335" s="692"/>
    </row>
    <row r="336" spans="1:18" s="65" customFormat="1" ht="12" customHeight="1">
      <c r="A336" s="55"/>
      <c r="B336" s="55"/>
      <c r="C336" s="2403" t="s">
        <v>1283</v>
      </c>
      <c r="D336" s="2404" t="s">
        <v>3378</v>
      </c>
      <c r="E336" s="2404"/>
      <c r="F336" s="2404"/>
      <c r="G336" s="2404"/>
      <c r="H336" s="2404"/>
      <c r="I336" s="2404"/>
      <c r="J336" s="2404"/>
      <c r="K336" s="2404"/>
      <c r="L336" s="2403" t="s">
        <v>2797</v>
      </c>
      <c r="M336" s="2403" t="s">
        <v>1360</v>
      </c>
      <c r="R336" s="692"/>
    </row>
    <row r="337" spans="1:18" s="65" customFormat="1" ht="15.75" customHeight="1">
      <c r="A337" s="55"/>
      <c r="B337" s="55"/>
      <c r="C337" s="2405">
        <v>20000</v>
      </c>
      <c r="D337" s="2406">
        <v>15000</v>
      </c>
      <c r="E337" s="2406"/>
      <c r="F337" s="2406"/>
      <c r="G337" s="2406"/>
      <c r="H337" s="2406"/>
      <c r="I337" s="2406"/>
      <c r="J337" s="2406"/>
      <c r="K337" s="2406"/>
      <c r="L337" s="2405">
        <v>6000</v>
      </c>
      <c r="M337" s="2405">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270</v>
      </c>
      <c r="C339" s="50"/>
      <c r="D339" s="56"/>
      <c r="E339" s="56"/>
      <c r="F339" s="56"/>
      <c r="G339" s="56"/>
      <c r="H339" s="44"/>
      <c r="I339" s="44"/>
      <c r="J339" s="44"/>
      <c r="K339" s="44"/>
      <c r="M339" s="54"/>
      <c r="N339" s="73"/>
      <c r="O339" s="4"/>
      <c r="P339" s="1161"/>
    </row>
    <row r="340" spans="1:18" s="51" customFormat="1" ht="27.75" customHeight="1">
      <c r="A340" s="2212" t="s">
        <v>1030</v>
      </c>
      <c r="B340" s="2213"/>
      <c r="C340" s="2213"/>
      <c r="D340" s="2213"/>
      <c r="E340" s="2213"/>
      <c r="F340" s="2213"/>
      <c r="G340" s="2213"/>
      <c r="H340" s="2213"/>
      <c r="I340" s="2213"/>
      <c r="J340" s="2213"/>
      <c r="K340" s="2213"/>
      <c r="L340" s="2213"/>
      <c r="M340" s="2213"/>
      <c r="N340" s="2213"/>
      <c r="O340" s="2213"/>
      <c r="P340" s="2214"/>
      <c r="Q340" s="561" t="s">
        <v>1333</v>
      </c>
    </row>
    <row r="341" spans="1:18" s="51" customFormat="1" ht="11.25" customHeight="1">
      <c r="A341" s="50"/>
      <c r="B341" s="100" t="s">
        <v>1997</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1333</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3368</v>
      </c>
      <c r="B344" s="122" t="s">
        <v>1793</v>
      </c>
      <c r="D344" s="53"/>
      <c r="E344" s="53"/>
      <c r="F344" s="47"/>
      <c r="G344" s="44"/>
      <c r="I344" s="44"/>
      <c r="J344" s="44"/>
      <c r="K344" s="44"/>
      <c r="L344" s="457" t="str">
        <f>IF(OR($O344=$M344,$O344&lt;=0,$O344=""),"","* * Check Score! * *")</f>
        <v/>
      </c>
      <c r="M344" s="2">
        <v>10</v>
      </c>
      <c r="N344" s="7"/>
      <c r="O344" s="76">
        <f>O346</f>
        <v>10</v>
      </c>
      <c r="P344" s="76">
        <f>P346</f>
        <v>0</v>
      </c>
      <c r="Q344" s="126" t="s">
        <v>464</v>
      </c>
    </row>
    <row r="345" spans="1:18" s="43" customFormat="1" ht="11.45" customHeight="1">
      <c r="B345" s="171" t="s">
        <v>2721</v>
      </c>
      <c r="M345" s="50"/>
      <c r="N345" s="50"/>
      <c r="O345" s="2271" t="s">
        <v>3705</v>
      </c>
      <c r="P345" s="799"/>
    </row>
    <row r="346" spans="1:18" ht="12.6" customHeight="1">
      <c r="A346" s="165" t="s">
        <v>2119</v>
      </c>
      <c r="B346" s="221" t="s">
        <v>1533</v>
      </c>
      <c r="D346" s="40"/>
      <c r="E346" s="40"/>
      <c r="F346" s="40"/>
      <c r="G346" s="40"/>
      <c r="H346" s="40"/>
      <c r="I346" s="40"/>
      <c r="J346" s="40"/>
      <c r="K346" s="40"/>
      <c r="L346" s="40"/>
      <c r="M346" s="134"/>
      <c r="N346" s="593" t="s">
        <v>2119</v>
      </c>
      <c r="O346" s="2407">
        <v>10</v>
      </c>
      <c r="P346" s="813"/>
      <c r="Q346" s="213" t="s">
        <v>2948</v>
      </c>
    </row>
    <row r="347" spans="1:18" s="51" customFormat="1" ht="11.25" customHeight="1">
      <c r="A347" s="50"/>
      <c r="B347" s="57" t="s">
        <v>270</v>
      </c>
      <c r="C347" s="50"/>
      <c r="D347" s="56"/>
      <c r="E347" s="56"/>
      <c r="F347" s="56"/>
      <c r="G347" s="56"/>
      <c r="H347" s="44"/>
      <c r="I347" s="44"/>
      <c r="J347" s="44"/>
      <c r="K347" s="44"/>
      <c r="M347" s="54"/>
      <c r="N347" s="73"/>
      <c r="O347" s="4"/>
      <c r="P347" s="1161"/>
    </row>
    <row r="348" spans="1:18" s="51" customFormat="1" ht="26.25" customHeight="1">
      <c r="A348" s="2212" t="s">
        <v>3835</v>
      </c>
      <c r="B348" s="2213"/>
      <c r="C348" s="2213"/>
      <c r="D348" s="2213"/>
      <c r="E348" s="2213"/>
      <c r="F348" s="2213"/>
      <c r="G348" s="2213"/>
      <c r="H348" s="2213"/>
      <c r="I348" s="2213"/>
      <c r="J348" s="2213"/>
      <c r="K348" s="2213"/>
      <c r="L348" s="2213"/>
      <c r="M348" s="2213"/>
      <c r="N348" s="2213"/>
      <c r="O348" s="2213"/>
      <c r="P348" s="2214"/>
      <c r="Q348" s="561" t="s">
        <v>1333</v>
      </c>
      <c r="R348" s="562"/>
    </row>
    <row r="349" spans="1:18" s="119" customFormat="1" ht="11.25" customHeight="1">
      <c r="A349" s="79"/>
      <c r="B349" s="79" t="s">
        <v>1997</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1333</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447</v>
      </c>
      <c r="I352" s="185"/>
      <c r="J352" s="185"/>
      <c r="K352" s="185"/>
      <c r="L352" s="119"/>
      <c r="M352" s="554">
        <f>M8+M30+M38+M47+M61+M69+M87+M98+M125+M140+M150+M158+M167+M173+M183+M218+M230+M241+M252+M276+M326+M344</f>
        <v>87</v>
      </c>
      <c r="N352" s="186"/>
      <c r="O352" s="187">
        <f>O8+O30+O38+O47+O61+O69+O87+O98+O125+O140+O150+O167+O173+O183+O230+O241+O276+O326+O344</f>
        <v>48</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3603</v>
      </c>
      <c r="J353" s="81"/>
      <c r="K353" s="81"/>
      <c r="L353" s="51"/>
      <c r="M353" s="43"/>
      <c r="N353" s="2"/>
      <c r="O353" s="591"/>
      <c r="P353" s="591">
        <f>P158</f>
        <v>0</v>
      </c>
    </row>
    <row r="354" spans="1:16" s="50" customFormat="1" ht="13.5" customHeight="1">
      <c r="A354" s="64"/>
      <c r="B354" s="80"/>
      <c r="C354" s="64"/>
      <c r="D354" s="43"/>
      <c r="E354" s="43"/>
      <c r="F354" s="82"/>
      <c r="G354" s="82"/>
      <c r="I354" s="205" t="s">
        <v>3604</v>
      </c>
      <c r="J354" s="81"/>
      <c r="K354" s="81"/>
      <c r="L354" s="51"/>
      <c r="M354" s="43"/>
      <c r="N354" s="2"/>
      <c r="O354" s="2"/>
      <c r="P354" s="591">
        <f>P218</f>
        <v>0</v>
      </c>
    </row>
    <row r="355" spans="1:16" s="51" customFormat="1" ht="13.5" customHeight="1">
      <c r="A355" s="50"/>
      <c r="B355" s="50"/>
      <c r="C355" s="1162"/>
      <c r="D355" s="1162"/>
      <c r="E355" s="1162"/>
      <c r="F355" s="1162"/>
      <c r="G355" s="1162"/>
      <c r="I355" s="205" t="s">
        <v>3605</v>
      </c>
      <c r="J355" s="1162"/>
      <c r="K355" s="1162"/>
      <c r="L355" s="1162"/>
      <c r="M355" s="1162"/>
      <c r="N355" s="87"/>
      <c r="O355" s="83"/>
      <c r="P355" s="591">
        <f>P252</f>
        <v>0</v>
      </c>
    </row>
    <row r="356" spans="1:16" s="51" customFormat="1" ht="13.5" customHeight="1">
      <c r="A356" s="50"/>
      <c r="D356" s="47"/>
      <c r="E356" s="44"/>
      <c r="F356" s="611"/>
      <c r="G356" s="611"/>
      <c r="H356" s="5" t="s">
        <v>3606</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1763</v>
      </c>
      <c r="D359" s="566"/>
      <c r="E359" s="566"/>
      <c r="F359" s="566"/>
      <c r="G359" s="566"/>
      <c r="H359" s="566"/>
      <c r="I359" s="566"/>
      <c r="J359" s="566" t="s">
        <v>1075</v>
      </c>
      <c r="K359" s="566"/>
      <c r="L359" s="623"/>
      <c r="M359" s="623"/>
      <c r="N359" s="694"/>
      <c r="O359" s="695"/>
      <c r="P359" s="695"/>
    </row>
    <row r="360" spans="1:16" s="189" customFormat="1">
      <c r="C360" s="623" t="s">
        <v>2228</v>
      </c>
      <c r="D360" s="623"/>
      <c r="E360" s="623"/>
      <c r="F360" s="623"/>
      <c r="G360" s="623"/>
      <c r="H360" s="623"/>
      <c r="I360" s="623"/>
      <c r="J360" s="623" t="s">
        <v>1896</v>
      </c>
      <c r="K360" s="623"/>
      <c r="L360" s="623"/>
      <c r="M360" s="623"/>
      <c r="N360" s="694"/>
      <c r="O360" s="695"/>
      <c r="P360" s="695"/>
    </row>
    <row r="361" spans="1:16" s="189" customFormat="1" ht="15">
      <c r="C361" s="566" t="s">
        <v>2727</v>
      </c>
      <c r="D361" s="566"/>
      <c r="E361" s="566"/>
      <c r="F361" s="566"/>
      <c r="G361" s="566"/>
      <c r="H361" s="566"/>
      <c r="I361" s="566"/>
      <c r="J361" s="696" t="s">
        <v>242</v>
      </c>
      <c r="K361" s="566"/>
      <c r="L361" s="623"/>
      <c r="M361" s="623"/>
      <c r="N361" s="694"/>
      <c r="O361" s="695"/>
      <c r="P361" s="695"/>
    </row>
    <row r="362" spans="1:16" s="189" customFormat="1" ht="15">
      <c r="C362" s="566" t="s">
        <v>2229</v>
      </c>
      <c r="D362" s="566"/>
      <c r="E362" s="566"/>
      <c r="F362" s="566"/>
      <c r="G362" s="566"/>
      <c r="H362" s="566"/>
      <c r="I362" s="566"/>
      <c r="J362" s="696" t="s">
        <v>1765</v>
      </c>
      <c r="K362" s="566"/>
      <c r="L362" s="623"/>
      <c r="M362" s="623"/>
      <c r="N362" s="694"/>
      <c r="O362" s="695"/>
      <c r="P362" s="695"/>
    </row>
    <row r="363" spans="1:16" s="189" customFormat="1" ht="15">
      <c r="C363" s="566" t="s">
        <v>2230</v>
      </c>
      <c r="D363" s="566"/>
      <c r="E363" s="566"/>
      <c r="F363" s="566"/>
      <c r="G363" s="566"/>
      <c r="H363" s="566"/>
      <c r="I363" s="566"/>
      <c r="J363" s="696" t="s">
        <v>1766</v>
      </c>
      <c r="K363" s="566"/>
      <c r="L363" s="623"/>
      <c r="M363" s="623"/>
      <c r="N363" s="694"/>
      <c r="O363" s="695"/>
      <c r="P363" s="695"/>
    </row>
    <row r="364" spans="1:16" s="189" customFormat="1" ht="15">
      <c r="C364" s="697" t="s">
        <v>2231</v>
      </c>
      <c r="D364" s="566"/>
      <c r="E364" s="566"/>
      <c r="F364" s="566"/>
      <c r="G364" s="566"/>
      <c r="H364" s="566"/>
      <c r="I364" s="566"/>
      <c r="J364" s="696" t="s">
        <v>2674</v>
      </c>
      <c r="K364" s="566"/>
      <c r="L364" s="623"/>
      <c r="M364" s="623"/>
      <c r="N364" s="694"/>
      <c r="O364" s="695"/>
      <c r="P364" s="695"/>
    </row>
    <row r="365" spans="1:16" s="189" customFormat="1" ht="15">
      <c r="C365" s="697" t="s">
        <v>2232</v>
      </c>
      <c r="D365" s="566"/>
      <c r="E365" s="566"/>
      <c r="F365" s="566"/>
      <c r="G365" s="566"/>
      <c r="H365" s="566"/>
      <c r="I365" s="566"/>
      <c r="J365" s="696" t="s">
        <v>1767</v>
      </c>
      <c r="K365" s="566"/>
      <c r="L365" s="623"/>
      <c r="M365" s="623"/>
      <c r="N365" s="694"/>
      <c r="O365" s="695"/>
      <c r="P365" s="695"/>
    </row>
    <row r="366" spans="1:16" s="189" customFormat="1" ht="15">
      <c r="C366" s="697"/>
      <c r="D366" s="566"/>
      <c r="E366" s="566"/>
      <c r="F366" s="566"/>
      <c r="G366" s="566"/>
      <c r="H366" s="566"/>
      <c r="I366" s="566"/>
      <c r="J366" s="696" t="s">
        <v>1768</v>
      </c>
      <c r="K366" s="566"/>
      <c r="L366" s="623"/>
      <c r="M366" s="623"/>
      <c r="N366" s="694"/>
      <c r="O366" s="695"/>
      <c r="P366" s="695"/>
    </row>
    <row r="367" spans="1:16" s="189" customFormat="1" ht="15">
      <c r="C367" s="623" t="s">
        <v>1896</v>
      </c>
      <c r="D367" s="566"/>
      <c r="E367" s="566"/>
      <c r="F367" s="566"/>
      <c r="G367" s="566"/>
      <c r="H367" s="566"/>
      <c r="I367" s="566"/>
      <c r="J367" s="696" t="s">
        <v>1769</v>
      </c>
      <c r="K367" s="566"/>
      <c r="L367" s="623"/>
      <c r="M367" s="623"/>
      <c r="N367" s="694"/>
      <c r="O367" s="695"/>
      <c r="P367" s="695"/>
    </row>
    <row r="368" spans="1:16" s="189" customFormat="1" ht="15">
      <c r="C368" s="698" t="s">
        <v>1481</v>
      </c>
      <c r="D368" s="566"/>
      <c r="E368" s="566"/>
      <c r="F368" s="566"/>
      <c r="G368" s="566"/>
      <c r="H368" s="566"/>
      <c r="I368" s="566"/>
      <c r="J368" s="696" t="s">
        <v>1770</v>
      </c>
      <c r="K368" s="566"/>
      <c r="L368" s="623"/>
      <c r="M368" s="623"/>
      <c r="N368" s="694"/>
      <c r="O368" s="695"/>
      <c r="P368" s="695"/>
    </row>
    <row r="369" spans="3:16" s="189" customFormat="1" ht="15">
      <c r="C369" s="698" t="s">
        <v>1482</v>
      </c>
      <c r="D369" s="566"/>
      <c r="E369" s="566"/>
      <c r="F369" s="566"/>
      <c r="G369" s="566"/>
      <c r="H369" s="566"/>
      <c r="I369" s="566"/>
      <c r="J369" s="696" t="s">
        <v>1771</v>
      </c>
      <c r="K369" s="566"/>
      <c r="L369" s="623"/>
      <c r="M369" s="623"/>
      <c r="N369" s="694"/>
      <c r="O369" s="695"/>
      <c r="P369" s="695"/>
    </row>
    <row r="370" spans="3:16" s="189" customFormat="1" ht="15">
      <c r="C370" s="699" t="s">
        <v>2272</v>
      </c>
      <c r="D370" s="566"/>
      <c r="E370" s="566"/>
      <c r="F370" s="566"/>
      <c r="G370" s="566"/>
      <c r="H370" s="566"/>
      <c r="I370" s="566"/>
      <c r="J370" s="696" t="s">
        <v>1772</v>
      </c>
      <c r="K370" s="566"/>
      <c r="L370" s="623"/>
      <c r="M370" s="623"/>
      <c r="N370" s="694"/>
      <c r="O370" s="695"/>
      <c r="P370" s="695"/>
    </row>
    <row r="371" spans="3:16" s="189" customFormat="1" ht="15">
      <c r="C371" s="699" t="s">
        <v>1478</v>
      </c>
      <c r="D371" s="566"/>
      <c r="E371" s="566"/>
      <c r="F371" s="566"/>
      <c r="G371" s="566"/>
      <c r="H371" s="566"/>
      <c r="I371" s="566"/>
      <c r="J371" s="696" t="s">
        <v>630</v>
      </c>
      <c r="K371" s="566"/>
      <c r="L371" s="623"/>
      <c r="M371" s="623"/>
      <c r="N371" s="694"/>
      <c r="O371" s="695"/>
      <c r="P371" s="695"/>
    </row>
    <row r="372" spans="3:16" s="189" customFormat="1" ht="15">
      <c r="C372" s="699" t="s">
        <v>1479</v>
      </c>
      <c r="D372" s="566"/>
      <c r="E372" s="566"/>
      <c r="F372" s="566"/>
      <c r="G372" s="566"/>
      <c r="H372" s="566"/>
      <c r="I372" s="566"/>
      <c r="J372" s="696" t="s">
        <v>1773</v>
      </c>
      <c r="K372" s="566"/>
      <c r="L372" s="623"/>
      <c r="M372" s="623"/>
      <c r="N372" s="694"/>
      <c r="O372" s="695"/>
      <c r="P372" s="695"/>
    </row>
    <row r="373" spans="3:16" s="189" customFormat="1" ht="15">
      <c r="C373" s="698" t="s">
        <v>2267</v>
      </c>
      <c r="D373" s="566"/>
      <c r="E373" s="566"/>
      <c r="F373" s="566"/>
      <c r="G373" s="566"/>
      <c r="H373" s="566"/>
      <c r="I373" s="566"/>
      <c r="J373" s="696" t="s">
        <v>1774</v>
      </c>
      <c r="K373" s="566"/>
      <c r="L373" s="623"/>
      <c r="M373" s="623"/>
      <c r="N373" s="694"/>
      <c r="O373" s="695"/>
      <c r="P373" s="695"/>
    </row>
    <row r="374" spans="3:16" s="189" customFormat="1" ht="15">
      <c r="C374" s="698" t="s">
        <v>2268</v>
      </c>
      <c r="D374" s="566"/>
      <c r="E374" s="566"/>
      <c r="F374" s="566"/>
      <c r="G374" s="566"/>
      <c r="H374" s="566"/>
      <c r="I374" s="566"/>
      <c r="J374" s="696" t="s">
        <v>1775</v>
      </c>
      <c r="K374" s="623"/>
      <c r="L374" s="623"/>
      <c r="M374" s="623"/>
      <c r="N374" s="694"/>
      <c r="O374" s="695"/>
      <c r="P374" s="695"/>
    </row>
    <row r="375" spans="3:16" s="189" customFormat="1" ht="15">
      <c r="C375" s="698" t="s">
        <v>2269</v>
      </c>
      <c r="D375" s="623"/>
      <c r="E375" s="623"/>
      <c r="F375" s="623"/>
      <c r="G375" s="623"/>
      <c r="H375" s="623"/>
      <c r="I375" s="623"/>
      <c r="J375" s="696" t="s">
        <v>37</v>
      </c>
      <c r="K375" s="623"/>
      <c r="L375" s="623"/>
      <c r="M375" s="623"/>
      <c r="N375" s="694"/>
      <c r="O375" s="695"/>
      <c r="P375" s="695"/>
    </row>
    <row r="376" spans="3:16" s="189" customFormat="1" ht="15">
      <c r="C376" s="698" t="s">
        <v>2270</v>
      </c>
      <c r="D376" s="623"/>
      <c r="E376" s="623"/>
      <c r="F376" s="623"/>
      <c r="G376" s="623"/>
      <c r="H376" s="623"/>
      <c r="I376" s="623"/>
      <c r="J376" s="700"/>
      <c r="K376" s="623"/>
      <c r="L376" s="623"/>
      <c r="M376" s="623"/>
      <c r="N376" s="694"/>
      <c r="O376" s="695"/>
      <c r="P376" s="695"/>
    </row>
    <row r="377" spans="3:16" s="189" customFormat="1">
      <c r="C377" s="698" t="s">
        <v>2271</v>
      </c>
      <c r="D377" s="623"/>
      <c r="E377" s="623"/>
      <c r="F377" s="623"/>
      <c r="G377" s="623"/>
      <c r="H377" s="623"/>
      <c r="I377" s="623"/>
      <c r="J377" s="623"/>
      <c r="K377" s="623"/>
      <c r="L377" s="623"/>
      <c r="M377" s="623"/>
      <c r="N377" s="694"/>
      <c r="O377" s="695"/>
      <c r="P377" s="695"/>
    </row>
    <row r="378" spans="3:16" s="189" customFormat="1">
      <c r="C378" s="698" t="s">
        <v>1480</v>
      </c>
      <c r="D378" s="623"/>
      <c r="E378" s="623"/>
      <c r="F378" s="623"/>
      <c r="G378" s="623"/>
      <c r="H378" s="623"/>
      <c r="I378" s="623"/>
      <c r="J378" s="623"/>
      <c r="K378" s="623"/>
      <c r="L378" s="623"/>
      <c r="M378" s="623"/>
      <c r="N378" s="694"/>
      <c r="O378" s="695"/>
      <c r="P378" s="695"/>
    </row>
    <row r="379" spans="3:16" s="189" customFormat="1">
      <c r="C379" s="698" t="s">
        <v>2431</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3241</v>
      </c>
      <c r="D382" s="623"/>
      <c r="E382" s="623"/>
      <c r="F382" s="623"/>
      <c r="G382" s="702" t="s">
        <v>1606</v>
      </c>
      <c r="H382" s="702" t="s">
        <v>1607</v>
      </c>
      <c r="I382" s="702" t="s">
        <v>1608</v>
      </c>
      <c r="J382" s="623"/>
      <c r="K382" s="623"/>
      <c r="L382" s="623"/>
      <c r="M382" s="623"/>
      <c r="N382" s="694"/>
      <c r="O382" s="695"/>
      <c r="P382" s="695"/>
    </row>
    <row r="383" spans="3:16" s="189" customFormat="1" ht="38.25">
      <c r="C383" s="703" t="s">
        <v>3243</v>
      </c>
      <c r="D383" s="623"/>
      <c r="E383" s="623"/>
      <c r="F383" s="623"/>
      <c r="G383" s="704" t="s">
        <v>2694</v>
      </c>
      <c r="H383" s="704" t="s">
        <v>2695</v>
      </c>
      <c r="I383" s="704" t="s">
        <v>1264</v>
      </c>
      <c r="J383" s="623"/>
      <c r="K383" s="623"/>
      <c r="L383" s="623"/>
      <c r="M383" s="623"/>
      <c r="N383" s="694"/>
      <c r="O383" s="695"/>
      <c r="P383" s="695"/>
    </row>
    <row r="384" spans="3:16" s="189" customFormat="1">
      <c r="C384" s="703" t="s">
        <v>3244</v>
      </c>
      <c r="D384" s="623"/>
      <c r="E384" s="623"/>
      <c r="F384" s="623"/>
      <c r="G384" s="704" t="s">
        <v>1907</v>
      </c>
      <c r="H384" s="705" t="s">
        <v>1068</v>
      </c>
      <c r="I384" s="705" t="s">
        <v>1404</v>
      </c>
      <c r="J384" s="623"/>
      <c r="K384" s="623"/>
      <c r="L384" s="623"/>
      <c r="M384" s="623"/>
      <c r="N384" s="694"/>
      <c r="O384" s="695"/>
      <c r="P384" s="695"/>
    </row>
    <row r="385" spans="3:16" s="189" customFormat="1" ht="25.5">
      <c r="C385" s="703" t="s">
        <v>3245</v>
      </c>
      <c r="D385" s="623"/>
      <c r="E385" s="623"/>
      <c r="F385" s="623"/>
      <c r="G385" s="704" t="s">
        <v>1748</v>
      </c>
      <c r="H385" s="705" t="s">
        <v>1419</v>
      </c>
      <c r="I385" s="705" t="s">
        <v>1416</v>
      </c>
      <c r="J385" s="623"/>
      <c r="K385" s="623"/>
      <c r="L385" s="623"/>
      <c r="M385" s="623"/>
      <c r="N385" s="694"/>
      <c r="O385" s="695"/>
      <c r="P385" s="695"/>
    </row>
    <row r="386" spans="3:16" s="189" customFormat="1">
      <c r="C386" s="703" t="s">
        <v>3246</v>
      </c>
      <c r="D386" s="623"/>
      <c r="E386" s="623"/>
      <c r="F386" s="623"/>
      <c r="G386" s="704" t="s">
        <v>2210</v>
      </c>
      <c r="H386" s="705" t="s">
        <v>2714</v>
      </c>
      <c r="I386" s="705" t="s">
        <v>1419</v>
      </c>
      <c r="J386" s="623"/>
      <c r="K386" s="623"/>
      <c r="L386" s="623"/>
      <c r="M386" s="623"/>
      <c r="N386" s="694"/>
      <c r="O386" s="695"/>
      <c r="P386" s="695"/>
    </row>
    <row r="387" spans="3:16" s="189" customFormat="1" ht="25.5">
      <c r="C387" s="703" t="s">
        <v>3247</v>
      </c>
      <c r="D387" s="623"/>
      <c r="E387" s="623"/>
      <c r="F387" s="623"/>
      <c r="G387" s="704" t="s">
        <v>1749</v>
      </c>
      <c r="H387" s="705" t="s">
        <v>2715</v>
      </c>
      <c r="I387" s="705" t="s">
        <v>2650</v>
      </c>
      <c r="J387" s="623"/>
      <c r="K387" s="623"/>
      <c r="L387" s="623"/>
      <c r="M387" s="623"/>
      <c r="N387" s="694"/>
      <c r="O387" s="695"/>
      <c r="P387" s="695"/>
    </row>
    <row r="388" spans="3:16" s="189" customFormat="1">
      <c r="C388" s="703" t="s">
        <v>3248</v>
      </c>
      <c r="D388" s="623"/>
      <c r="E388" s="623"/>
      <c r="F388" s="623"/>
      <c r="G388" s="704" t="s">
        <v>12</v>
      </c>
      <c r="H388" s="705" t="s">
        <v>2063</v>
      </c>
      <c r="I388" s="705" t="s">
        <v>2656</v>
      </c>
      <c r="J388" s="623"/>
      <c r="K388" s="623"/>
      <c r="L388" s="623"/>
      <c r="M388" s="623"/>
      <c r="N388" s="694"/>
      <c r="O388" s="695"/>
      <c r="P388" s="695"/>
    </row>
    <row r="389" spans="3:16" s="189" customFormat="1">
      <c r="C389" s="703"/>
      <c r="D389" s="623"/>
      <c r="E389" s="623"/>
      <c r="F389" s="623"/>
      <c r="G389" s="704" t="s">
        <v>1419</v>
      </c>
      <c r="H389" s="705" t="s">
        <v>2428</v>
      </c>
      <c r="I389" s="705" t="s">
        <v>2658</v>
      </c>
      <c r="J389" s="623"/>
      <c r="K389" s="623"/>
      <c r="L389" s="623"/>
      <c r="M389" s="623"/>
      <c r="N389" s="694"/>
      <c r="O389" s="695"/>
      <c r="P389" s="695"/>
    </row>
    <row r="390" spans="3:16" s="189" customFormat="1">
      <c r="C390" s="703"/>
      <c r="D390" s="623"/>
      <c r="E390" s="623"/>
      <c r="F390" s="623"/>
      <c r="G390" s="704" t="s">
        <v>1609</v>
      </c>
      <c r="H390" s="705" t="s">
        <v>2716</v>
      </c>
      <c r="I390" s="705" t="s">
        <v>2703</v>
      </c>
      <c r="J390" s="623"/>
      <c r="K390" s="623"/>
      <c r="L390" s="623"/>
      <c r="M390" s="623"/>
      <c r="N390" s="694"/>
      <c r="O390" s="695"/>
      <c r="P390" s="695"/>
    </row>
    <row r="391" spans="3:16" s="189" customFormat="1">
      <c r="C391" s="703"/>
      <c r="D391" s="623"/>
      <c r="E391" s="623"/>
      <c r="F391" s="623"/>
      <c r="G391" s="704" t="s">
        <v>1085</v>
      </c>
      <c r="H391" s="705" t="s">
        <v>706</v>
      </c>
      <c r="I391" s="705" t="s">
        <v>205</v>
      </c>
      <c r="J391" s="623"/>
      <c r="K391" s="623"/>
      <c r="L391" s="623"/>
      <c r="M391" s="623"/>
      <c r="N391" s="694"/>
      <c r="O391" s="695"/>
      <c r="P391" s="695"/>
    </row>
    <row r="392" spans="3:16" s="189" customFormat="1">
      <c r="C392" s="623"/>
      <c r="D392" s="623"/>
      <c r="E392" s="623"/>
      <c r="F392" s="623"/>
      <c r="G392" s="704" t="s">
        <v>2658</v>
      </c>
      <c r="H392" s="705" t="s">
        <v>1762</v>
      </c>
      <c r="I392" s="705" t="s">
        <v>1011</v>
      </c>
      <c r="J392" s="623"/>
      <c r="K392" s="623"/>
      <c r="L392" s="623"/>
      <c r="M392" s="623"/>
      <c r="N392" s="694"/>
      <c r="O392" s="695"/>
      <c r="P392" s="695"/>
    </row>
    <row r="393" spans="3:16" s="189" customFormat="1" ht="25.5">
      <c r="C393" s="623"/>
      <c r="D393" s="623"/>
      <c r="E393" s="623"/>
      <c r="F393" s="623"/>
      <c r="G393" s="704" t="s">
        <v>2197</v>
      </c>
      <c r="H393" s="705" t="s">
        <v>2717</v>
      </c>
      <c r="I393" s="705" t="s">
        <v>1013</v>
      </c>
      <c r="J393" s="623"/>
      <c r="K393" s="623"/>
      <c r="L393" s="623"/>
      <c r="M393" s="623"/>
      <c r="N393" s="694"/>
      <c r="O393" s="695"/>
      <c r="P393" s="695"/>
    </row>
    <row r="394" spans="3:16" s="189" customFormat="1" ht="25.5">
      <c r="C394" s="701" t="s">
        <v>3250</v>
      </c>
      <c r="D394" s="623"/>
      <c r="E394" s="623"/>
      <c r="F394" s="623"/>
      <c r="G394" s="704" t="s">
        <v>643</v>
      </c>
      <c r="H394" s="705" t="s">
        <v>1610</v>
      </c>
      <c r="I394" s="705" t="s">
        <v>930</v>
      </c>
      <c r="J394" s="623"/>
      <c r="K394" s="623"/>
      <c r="L394" s="623"/>
      <c r="M394" s="623"/>
      <c r="N394" s="694"/>
      <c r="O394" s="695"/>
      <c r="P394" s="695"/>
    </row>
    <row r="395" spans="3:16" s="189" customFormat="1">
      <c r="C395" s="701" t="s">
        <v>3301</v>
      </c>
      <c r="D395" s="623"/>
      <c r="E395" s="623"/>
      <c r="F395" s="623"/>
      <c r="G395" s="704" t="s">
        <v>354</v>
      </c>
      <c r="H395" s="705" t="s">
        <v>2417</v>
      </c>
      <c r="I395" s="705" t="s">
        <v>934</v>
      </c>
      <c r="J395" s="623"/>
      <c r="K395" s="623"/>
      <c r="L395" s="623"/>
      <c r="M395" s="623"/>
      <c r="N395" s="694"/>
      <c r="O395" s="695"/>
      <c r="P395" s="695"/>
    </row>
    <row r="396" spans="3:16" s="189" customFormat="1">
      <c r="C396" s="703" t="s">
        <v>3302</v>
      </c>
      <c r="D396" s="623"/>
      <c r="E396" s="623"/>
      <c r="F396" s="623"/>
      <c r="G396" s="704" t="s">
        <v>929</v>
      </c>
      <c r="H396" s="705" t="s">
        <v>2024</v>
      </c>
      <c r="I396" s="705" t="s">
        <v>711</v>
      </c>
      <c r="J396" s="623"/>
      <c r="K396" s="623"/>
      <c r="L396" s="623"/>
      <c r="M396" s="623"/>
      <c r="N396" s="694"/>
      <c r="O396" s="695"/>
      <c r="P396" s="695"/>
    </row>
    <row r="397" spans="3:16" s="189" customFormat="1" ht="51">
      <c r="C397" s="703" t="s">
        <v>3303</v>
      </c>
      <c r="D397" s="623"/>
      <c r="E397" s="623"/>
      <c r="F397" s="623"/>
      <c r="G397" s="704" t="s">
        <v>2059</v>
      </c>
      <c r="H397" s="705" t="s">
        <v>2720</v>
      </c>
      <c r="I397" s="705" t="s">
        <v>716</v>
      </c>
      <c r="J397" s="623"/>
      <c r="K397" s="623"/>
      <c r="L397" s="623"/>
      <c r="M397" s="623"/>
      <c r="N397" s="694"/>
      <c r="O397" s="695"/>
      <c r="P397" s="695"/>
    </row>
    <row r="398" spans="3:16" s="189" customFormat="1">
      <c r="C398" s="703" t="s">
        <v>3305</v>
      </c>
      <c r="D398" s="623"/>
      <c r="E398" s="623"/>
      <c r="F398" s="623"/>
      <c r="G398" s="704" t="s">
        <v>480</v>
      </c>
      <c r="H398" s="705" t="s">
        <v>2713</v>
      </c>
      <c r="I398" s="705" t="s">
        <v>331</v>
      </c>
      <c r="J398" s="623"/>
      <c r="K398" s="623"/>
      <c r="L398" s="623"/>
      <c r="M398" s="623"/>
      <c r="N398" s="694"/>
      <c r="O398" s="695"/>
      <c r="P398" s="695"/>
    </row>
    <row r="399" spans="3:16" s="189" customFormat="1" ht="25.5">
      <c r="C399" s="703" t="s">
        <v>3304</v>
      </c>
      <c r="D399" s="623"/>
      <c r="E399" s="623"/>
      <c r="F399" s="623"/>
      <c r="G399" s="704" t="s">
        <v>246</v>
      </c>
      <c r="H399" s="705" t="s">
        <v>2718</v>
      </c>
      <c r="I399" s="705" t="s">
        <v>340</v>
      </c>
      <c r="J399" s="623"/>
      <c r="K399" s="623"/>
      <c r="L399" s="623"/>
      <c r="M399" s="623"/>
      <c r="N399" s="694"/>
      <c r="O399" s="695"/>
      <c r="P399" s="695"/>
    </row>
    <row r="400" spans="3:16" s="189" customFormat="1">
      <c r="C400" s="703" t="s">
        <v>3306</v>
      </c>
      <c r="D400" s="623"/>
      <c r="E400" s="623"/>
      <c r="F400" s="623"/>
      <c r="G400" s="704" t="s">
        <v>1299</v>
      </c>
      <c r="H400" s="705" t="s">
        <v>2719</v>
      </c>
      <c r="I400" s="705" t="s">
        <v>347</v>
      </c>
      <c r="J400" s="623"/>
      <c r="K400" s="623"/>
      <c r="L400" s="623"/>
      <c r="M400" s="623"/>
      <c r="N400" s="694"/>
      <c r="O400" s="695"/>
      <c r="P400" s="695"/>
    </row>
    <row r="401" spans="3:16" s="189" customFormat="1">
      <c r="C401" s="703"/>
      <c r="D401" s="623"/>
      <c r="E401" s="623"/>
      <c r="F401" s="623"/>
      <c r="G401" s="704" t="s">
        <v>1301</v>
      </c>
      <c r="H401" s="705" t="s">
        <v>1611</v>
      </c>
      <c r="I401" s="705" t="s">
        <v>349</v>
      </c>
      <c r="J401" s="623"/>
      <c r="K401" s="623"/>
      <c r="L401" s="623"/>
      <c r="M401" s="623"/>
      <c r="N401" s="694"/>
      <c r="O401" s="695"/>
      <c r="P401" s="695"/>
    </row>
    <row r="402" spans="3:16" s="189" customFormat="1" ht="25.5">
      <c r="C402" s="703"/>
      <c r="D402" s="623"/>
      <c r="E402" s="623"/>
      <c r="F402" s="623"/>
      <c r="G402" s="704" t="s">
        <v>1750</v>
      </c>
      <c r="H402" s="705"/>
      <c r="I402" s="705" t="s">
        <v>1552</v>
      </c>
      <c r="J402" s="623"/>
      <c r="K402" s="623"/>
      <c r="L402" s="623"/>
      <c r="M402" s="623"/>
      <c r="N402" s="694"/>
      <c r="O402" s="695"/>
      <c r="P402" s="695"/>
    </row>
    <row r="403" spans="3:16" s="189" customFormat="1">
      <c r="C403" s="703"/>
      <c r="D403" s="623"/>
      <c r="E403" s="623"/>
      <c r="F403" s="623"/>
      <c r="G403" s="704" t="s">
        <v>1046</v>
      </c>
      <c r="H403" s="705"/>
      <c r="I403" s="705" t="s">
        <v>1554</v>
      </c>
      <c r="J403" s="623"/>
      <c r="K403" s="623"/>
      <c r="L403" s="623"/>
      <c r="M403" s="623"/>
      <c r="N403" s="694"/>
      <c r="O403" s="695"/>
      <c r="P403" s="695"/>
    </row>
    <row r="404" spans="3:16" s="189" customFormat="1">
      <c r="C404" s="703"/>
      <c r="D404" s="623"/>
      <c r="E404" s="623"/>
      <c r="F404" s="623"/>
      <c r="G404" s="704" t="s">
        <v>611</v>
      </c>
      <c r="H404" s="705"/>
      <c r="I404" s="705" t="s">
        <v>1407</v>
      </c>
      <c r="J404" s="623"/>
      <c r="K404" s="623"/>
      <c r="L404" s="623"/>
      <c r="M404" s="623"/>
      <c r="N404" s="694"/>
      <c r="O404" s="695"/>
      <c r="P404" s="695"/>
    </row>
    <row r="405" spans="3:16" s="189" customFormat="1">
      <c r="C405" s="623"/>
      <c r="D405" s="623"/>
      <c r="E405" s="623"/>
      <c r="F405" s="623"/>
      <c r="G405" s="704" t="s">
        <v>1751</v>
      </c>
      <c r="H405" s="705"/>
      <c r="I405" s="705" t="s">
        <v>376</v>
      </c>
      <c r="J405" s="623"/>
      <c r="K405" s="623"/>
      <c r="L405" s="623"/>
      <c r="M405" s="623"/>
      <c r="N405" s="694"/>
      <c r="O405" s="695"/>
      <c r="P405" s="695"/>
    </row>
    <row r="406" spans="3:16" s="189" customFormat="1">
      <c r="C406" s="623"/>
      <c r="D406" s="623"/>
      <c r="E406" s="623"/>
      <c r="F406" s="623"/>
      <c r="G406" s="704" t="s">
        <v>1799</v>
      </c>
      <c r="H406" s="705"/>
      <c r="I406" s="705" t="s">
        <v>2010</v>
      </c>
      <c r="J406" s="623"/>
      <c r="K406" s="623"/>
      <c r="L406" s="623"/>
      <c r="M406" s="623"/>
      <c r="N406" s="694"/>
      <c r="O406" s="695"/>
      <c r="P406" s="695"/>
    </row>
    <row r="407" spans="3:16" s="189" customFormat="1">
      <c r="C407" s="623"/>
      <c r="D407" s="623"/>
      <c r="E407" s="623"/>
      <c r="F407" s="623"/>
      <c r="G407" s="704" t="s">
        <v>1864</v>
      </c>
      <c r="H407" s="705"/>
      <c r="I407" s="705" t="s">
        <v>2012</v>
      </c>
      <c r="J407" s="623"/>
      <c r="K407" s="623"/>
      <c r="L407" s="623"/>
      <c r="M407" s="623"/>
      <c r="N407" s="694"/>
      <c r="O407" s="695"/>
      <c r="P407" s="695"/>
    </row>
    <row r="408" spans="3:16" s="189" customFormat="1">
      <c r="C408" s="623"/>
      <c r="D408" s="623"/>
      <c r="E408" s="623"/>
      <c r="F408" s="623"/>
      <c r="G408" s="704" t="s">
        <v>876</v>
      </c>
      <c r="H408" s="705"/>
      <c r="I408" s="705" t="s">
        <v>1743</v>
      </c>
      <c r="J408" s="623"/>
      <c r="K408" s="623"/>
      <c r="L408" s="623"/>
      <c r="M408" s="623"/>
      <c r="N408" s="694"/>
      <c r="O408" s="695"/>
      <c r="P408" s="695"/>
    </row>
    <row r="409" spans="3:16" s="189" customFormat="1">
      <c r="C409" s="623"/>
      <c r="D409" s="623"/>
      <c r="E409" s="623"/>
      <c r="F409" s="623"/>
      <c r="G409" s="704" t="s">
        <v>555</v>
      </c>
      <c r="H409" s="705"/>
      <c r="I409" s="705" t="s">
        <v>1745</v>
      </c>
      <c r="J409" s="623"/>
      <c r="K409" s="623"/>
      <c r="L409" s="623"/>
      <c r="M409" s="623"/>
      <c r="N409" s="694"/>
      <c r="O409" s="695"/>
      <c r="P409" s="695"/>
    </row>
    <row r="410" spans="3:16" s="189" customFormat="1">
      <c r="C410" s="623"/>
      <c r="D410" s="623"/>
      <c r="E410" s="623"/>
      <c r="F410" s="623"/>
      <c r="G410" s="704" t="s">
        <v>563</v>
      </c>
      <c r="H410" s="705"/>
      <c r="I410" s="705" t="s">
        <v>1173</v>
      </c>
      <c r="J410" s="623"/>
      <c r="K410" s="623"/>
      <c r="L410" s="623"/>
      <c r="M410" s="623"/>
      <c r="N410" s="694"/>
      <c r="O410" s="695"/>
      <c r="P410" s="695"/>
    </row>
    <row r="411" spans="3:16" s="189" customFormat="1">
      <c r="C411" s="623"/>
      <c r="D411" s="623"/>
      <c r="E411" s="623"/>
      <c r="F411" s="623"/>
      <c r="G411" s="704" t="s">
        <v>2234</v>
      </c>
      <c r="H411" s="705"/>
      <c r="I411" s="705" t="s">
        <v>1177</v>
      </c>
      <c r="J411" s="623"/>
      <c r="K411" s="623"/>
      <c r="L411" s="623"/>
      <c r="M411" s="623"/>
      <c r="N411" s="694"/>
      <c r="O411" s="695"/>
      <c r="P411" s="695"/>
    </row>
    <row r="412" spans="3:16" s="189" customFormat="1">
      <c r="C412" s="623"/>
      <c r="D412" s="623"/>
      <c r="E412" s="623"/>
      <c r="F412" s="623"/>
      <c r="G412" s="704" t="s">
        <v>418</v>
      </c>
      <c r="H412" s="705"/>
      <c r="I412" s="705" t="s">
        <v>2311</v>
      </c>
      <c r="J412" s="623"/>
      <c r="K412" s="623"/>
      <c r="L412" s="623"/>
      <c r="M412" s="623"/>
      <c r="N412" s="694"/>
      <c r="O412" s="695"/>
      <c r="P412" s="695"/>
    </row>
    <row r="413" spans="3:16" s="189" customFormat="1">
      <c r="C413" s="623"/>
      <c r="D413" s="623"/>
      <c r="E413" s="623"/>
      <c r="F413" s="623"/>
      <c r="G413" s="704" t="s">
        <v>2261</v>
      </c>
      <c r="H413" s="705"/>
      <c r="I413" s="705" t="s">
        <v>2316</v>
      </c>
      <c r="J413" s="623"/>
      <c r="K413" s="623"/>
      <c r="L413" s="623"/>
      <c r="M413" s="623"/>
      <c r="N413" s="694"/>
      <c r="O413" s="695"/>
      <c r="P413" s="695"/>
    </row>
    <row r="414" spans="3:16" s="189" customFormat="1">
      <c r="C414" s="623"/>
      <c r="D414" s="623"/>
      <c r="E414" s="623"/>
      <c r="F414" s="623"/>
      <c r="G414" s="704" t="s">
        <v>1537</v>
      </c>
      <c r="H414" s="705"/>
      <c r="I414" s="705" t="s">
        <v>2318</v>
      </c>
      <c r="J414" s="623"/>
      <c r="K414" s="623"/>
      <c r="L414" s="623"/>
      <c r="M414" s="623"/>
      <c r="N414" s="694"/>
      <c r="O414" s="695"/>
      <c r="P414" s="695"/>
    </row>
    <row r="415" spans="3:16" s="189" customFormat="1" ht="13.5">
      <c r="C415" s="623"/>
      <c r="D415" s="706"/>
      <c r="E415" s="623"/>
      <c r="F415" s="623"/>
      <c r="G415" s="704" t="s">
        <v>259</v>
      </c>
      <c r="H415" s="707"/>
      <c r="I415" s="705" t="s">
        <v>2322</v>
      </c>
      <c r="J415" s="623"/>
      <c r="K415" s="623"/>
      <c r="L415" s="623"/>
      <c r="M415" s="623"/>
      <c r="N415" s="694"/>
      <c r="O415" s="695"/>
      <c r="P415" s="695"/>
    </row>
    <row r="416" spans="3:16" s="189" customFormat="1" ht="13.5">
      <c r="C416" s="706"/>
      <c r="D416" s="706"/>
      <c r="E416" s="623"/>
      <c r="F416" s="623"/>
      <c r="G416" s="704" t="s">
        <v>70</v>
      </c>
      <c r="H416" s="707"/>
      <c r="I416" s="705" t="s">
        <v>2326</v>
      </c>
      <c r="J416" s="623"/>
      <c r="K416" s="623"/>
      <c r="L416" s="623"/>
      <c r="M416" s="623"/>
      <c r="N416" s="694"/>
      <c r="O416" s="695"/>
      <c r="P416" s="695"/>
    </row>
    <row r="417" spans="1:16" s="189" customFormat="1" ht="13.5">
      <c r="C417" s="706"/>
      <c r="D417" s="708"/>
      <c r="E417" s="623"/>
      <c r="F417" s="623"/>
      <c r="G417" s="704" t="s">
        <v>2417</v>
      </c>
      <c r="H417" s="707"/>
      <c r="I417" s="705" t="s">
        <v>1779</v>
      </c>
      <c r="J417" s="623"/>
      <c r="K417" s="623"/>
      <c r="L417" s="623"/>
      <c r="M417" s="623"/>
      <c r="N417" s="694"/>
      <c r="O417" s="695"/>
      <c r="P417" s="695"/>
    </row>
    <row r="418" spans="1:16" s="189" customFormat="1">
      <c r="C418" s="706"/>
      <c r="D418" s="708"/>
      <c r="E418" s="708"/>
      <c r="F418" s="623"/>
      <c r="G418" s="704" t="s">
        <v>2304</v>
      </c>
      <c r="H418" s="623"/>
      <c r="I418" s="705" t="s">
        <v>1780</v>
      </c>
      <c r="J418" s="623"/>
      <c r="K418" s="623"/>
      <c r="L418" s="623"/>
      <c r="M418" s="623"/>
      <c r="N418" s="694"/>
      <c r="O418" s="695"/>
      <c r="P418" s="695"/>
    </row>
    <row r="419" spans="1:16" s="189" customFormat="1" ht="51">
      <c r="C419" s="706"/>
      <c r="D419" s="623"/>
      <c r="E419" s="623"/>
      <c r="F419" s="623"/>
      <c r="G419" s="704" t="s">
        <v>1752</v>
      </c>
      <c r="H419" s="623"/>
      <c r="I419" s="705" t="s">
        <v>2054</v>
      </c>
      <c r="J419" s="623"/>
      <c r="K419" s="623"/>
      <c r="L419" s="623"/>
      <c r="M419" s="623"/>
      <c r="N419" s="694"/>
      <c r="O419" s="695"/>
      <c r="P419" s="695"/>
    </row>
    <row r="420" spans="1:16" s="189" customFormat="1">
      <c r="C420" s="706"/>
      <c r="D420" s="623"/>
      <c r="E420" s="623"/>
      <c r="F420" s="623"/>
      <c r="G420" s="704" t="s">
        <v>2407</v>
      </c>
      <c r="H420" s="623"/>
      <c r="I420" s="624" t="s">
        <v>107</v>
      </c>
      <c r="J420" s="623"/>
      <c r="K420" s="623"/>
      <c r="L420" s="623"/>
      <c r="M420" s="623"/>
      <c r="N420" s="694"/>
      <c r="O420" s="695"/>
      <c r="P420" s="695"/>
    </row>
    <row r="421" spans="1:16" s="189" customFormat="1" ht="13.5">
      <c r="C421" s="706"/>
      <c r="D421" s="623"/>
      <c r="E421" s="623"/>
      <c r="F421" s="623"/>
      <c r="G421" s="704" t="s">
        <v>2409</v>
      </c>
      <c r="H421" s="623"/>
      <c r="I421" s="707" t="s">
        <v>113</v>
      </c>
      <c r="J421" s="623"/>
      <c r="K421" s="623"/>
      <c r="L421" s="623"/>
      <c r="M421" s="623"/>
      <c r="N421" s="694"/>
      <c r="O421" s="695"/>
      <c r="P421" s="695"/>
    </row>
    <row r="422" spans="1:16" s="189" customFormat="1" ht="13.5">
      <c r="C422" s="706"/>
      <c r="D422" s="623"/>
      <c r="E422" s="623"/>
      <c r="F422" s="623"/>
      <c r="G422" s="709" t="s">
        <v>2266</v>
      </c>
      <c r="H422" s="623"/>
      <c r="I422" s="707" t="s">
        <v>2557</v>
      </c>
      <c r="J422" s="623"/>
      <c r="K422" s="623"/>
      <c r="L422" s="623"/>
      <c r="M422" s="623"/>
      <c r="N422" s="694"/>
      <c r="O422" s="695"/>
      <c r="P422" s="695"/>
    </row>
    <row r="423" spans="1:16" s="189" customFormat="1" ht="13.5">
      <c r="C423" s="708"/>
      <c r="D423" s="623"/>
      <c r="E423" s="623"/>
      <c r="F423" s="623"/>
      <c r="G423" s="709" t="s">
        <v>1753</v>
      </c>
      <c r="H423" s="623"/>
      <c r="I423" s="707" t="s">
        <v>2559</v>
      </c>
      <c r="J423" s="623"/>
      <c r="K423" s="623"/>
      <c r="L423" s="623"/>
      <c r="M423" s="623"/>
      <c r="N423" s="694"/>
      <c r="O423" s="695"/>
      <c r="P423" s="695"/>
    </row>
    <row r="424" spans="1:16" s="189" customFormat="1" ht="13.5">
      <c r="C424" s="708"/>
      <c r="D424" s="623"/>
      <c r="E424" s="623"/>
      <c r="F424" s="623"/>
      <c r="G424" s="709" t="s">
        <v>2485</v>
      </c>
      <c r="H424" s="623"/>
      <c r="I424" s="707" t="s">
        <v>2561</v>
      </c>
      <c r="J424" s="623"/>
      <c r="K424" s="623"/>
      <c r="L424" s="623"/>
      <c r="M424" s="623"/>
      <c r="N424" s="694"/>
      <c r="O424" s="695"/>
      <c r="P424" s="695"/>
    </row>
    <row r="425" spans="1:16" s="189" customFormat="1" ht="13.5">
      <c r="C425" s="623"/>
      <c r="D425" s="623"/>
      <c r="E425" s="623"/>
      <c r="F425" s="623"/>
      <c r="G425" s="709" t="s">
        <v>2410</v>
      </c>
      <c r="H425" s="623"/>
      <c r="I425" s="623"/>
      <c r="J425" s="623"/>
      <c r="K425" s="623"/>
      <c r="L425" s="623"/>
      <c r="M425" s="623"/>
      <c r="N425" s="694"/>
      <c r="O425" s="695"/>
      <c r="P425" s="695"/>
    </row>
    <row r="426" spans="1:16" s="189" customFormat="1" ht="13.5">
      <c r="C426" s="623"/>
      <c r="D426" s="623"/>
      <c r="E426" s="623"/>
      <c r="F426" s="623"/>
      <c r="G426" s="709" t="s">
        <v>1816</v>
      </c>
      <c r="H426" s="623"/>
      <c r="I426" s="623"/>
      <c r="J426" s="623"/>
      <c r="K426" s="623"/>
      <c r="L426" s="623"/>
      <c r="M426" s="623"/>
      <c r="N426" s="694"/>
      <c r="O426" s="695"/>
      <c r="P426" s="695"/>
    </row>
    <row r="427" spans="1:16" s="189" customFormat="1" ht="13.5">
      <c r="C427" s="623"/>
      <c r="D427" s="623"/>
      <c r="E427" s="623"/>
      <c r="F427" s="623"/>
      <c r="G427" s="709" t="s">
        <v>1821</v>
      </c>
      <c r="H427" s="623"/>
      <c r="I427" s="623"/>
      <c r="J427" s="623"/>
      <c r="K427" s="623"/>
      <c r="L427" s="623"/>
      <c r="M427" s="623"/>
      <c r="N427" s="694"/>
      <c r="O427" s="695"/>
      <c r="P427" s="695"/>
    </row>
    <row r="428" spans="1:16" s="189" customFormat="1" ht="13.5">
      <c r="C428" s="623"/>
      <c r="D428" s="623"/>
      <c r="E428" s="623"/>
      <c r="F428" s="623"/>
      <c r="G428" s="709" t="s">
        <v>1824</v>
      </c>
      <c r="H428" s="623"/>
      <c r="I428" s="623"/>
      <c r="J428" s="623"/>
      <c r="K428" s="623"/>
      <c r="L428" s="623"/>
      <c r="M428" s="623"/>
      <c r="N428" s="694"/>
      <c r="O428" s="695"/>
      <c r="P428" s="695"/>
    </row>
    <row r="429" spans="1:16" s="189" customFormat="1">
      <c r="C429" s="623"/>
      <c r="D429" s="623"/>
      <c r="E429" s="623"/>
      <c r="F429" s="623"/>
      <c r="G429" s="625" t="s">
        <v>1829</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313</v>
      </c>
      <c r="H431" s="623"/>
      <c r="I431" s="623"/>
      <c r="J431" s="623"/>
      <c r="K431" s="623"/>
      <c r="L431" s="623"/>
      <c r="M431" s="623"/>
      <c r="N431" s="694"/>
      <c r="O431" s="695"/>
      <c r="P431" s="695"/>
    </row>
    <row r="432" spans="1:16">
      <c r="A432" s="189"/>
      <c r="B432" s="189"/>
      <c r="C432" s="623"/>
      <c r="D432" s="623"/>
      <c r="E432" s="623"/>
      <c r="F432" s="623"/>
      <c r="G432" s="625" t="s">
        <v>314</v>
      </c>
      <c r="H432" s="623"/>
      <c r="I432" s="623"/>
      <c r="J432" s="623"/>
      <c r="K432" s="623"/>
      <c r="L432" s="623"/>
      <c r="M432" s="623"/>
      <c r="N432" s="694"/>
      <c r="O432" s="695"/>
      <c r="P432" s="695"/>
    </row>
    <row r="433" spans="3:16">
      <c r="C433" s="623"/>
      <c r="D433" s="623"/>
      <c r="E433" s="623"/>
      <c r="F433" s="623"/>
      <c r="G433" s="625" t="s">
        <v>1652</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B388"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8" t="s">
        <v>3600</v>
      </c>
    </row>
    <row r="2" spans="1:6" ht="16.5">
      <c r="A2" s="1939" t="str">
        <f>'Part I-Project Information'!F23</f>
        <v>Macon Gardens</v>
      </c>
    </row>
    <row r="3" spans="1:6" ht="16.5">
      <c r="A3" s="1939" t="str">
        <f>CONCATENATE('Part I-Project Information'!F27,", ", 'Part I-Project Information'!J28," County")</f>
        <v>Macon, Bibb County</v>
      </c>
    </row>
    <row r="4" spans="1:6" ht="16.5">
      <c r="A4" s="2408" t="str">
        <f>IF('Part IX A-Scoring Criteria'!$O$219="Yes",CONCATENATE("Part A - ",'Part IX A-Scoring Criteria'!$B$219),IF('Part IX A-Scoring Criteria'!$O$223="Yes",CONCATENATE("Part B - ",'Part IX A-Scoring Criteria'!$B$222),""))</f>
        <v/>
      </c>
    </row>
    <row r="5" spans="1:6" ht="6.75" customHeight="1"/>
    <row r="6" spans="1:6" ht="113.25" customHeight="1">
      <c r="A6" s="1940" t="s">
        <v>1030</v>
      </c>
      <c r="B6" s="1569" t="s">
        <v>2922</v>
      </c>
      <c r="C6" s="1181"/>
      <c r="D6" s="1181"/>
      <c r="E6" s="1181"/>
      <c r="F6" s="1181"/>
    </row>
    <row r="7" spans="1:6" ht="6.6" customHeight="1">
      <c r="A7" s="1940"/>
      <c r="B7" s="1569"/>
      <c r="C7" s="1181"/>
      <c r="D7" s="1181"/>
      <c r="E7" s="1181"/>
      <c r="F7" s="1181"/>
    </row>
    <row r="8" spans="1:6" ht="134.25" customHeight="1">
      <c r="A8" s="1940"/>
      <c r="C8" s="2409"/>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10"/>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1" customWidth="1"/>
    <col min="2" max="12" width="7.28515625" style="2411" customWidth="1"/>
    <col min="13" max="13" width="8.7109375" style="2411" customWidth="1"/>
    <col min="14" max="15" width="5.85546875" style="2411" customWidth="1"/>
    <col min="16" max="16384" width="8.85546875" style="2411"/>
  </cols>
  <sheetData>
    <row r="1" spans="1:26" ht="19.5">
      <c r="N1" s="2412" t="s">
        <v>1601</v>
      </c>
      <c r="O1" s="2412"/>
      <c r="P1" s="2412"/>
      <c r="Q1" s="2412"/>
      <c r="R1" s="2412"/>
      <c r="S1" s="2412"/>
      <c r="T1" s="2412"/>
      <c r="U1" s="2412"/>
      <c r="V1" s="2412"/>
      <c r="W1" s="2412"/>
      <c r="X1" s="2412"/>
      <c r="Y1" s="2412"/>
      <c r="Z1" s="2412"/>
    </row>
    <row r="3" spans="1:26">
      <c r="N3" s="2413" t="s">
        <v>1602</v>
      </c>
      <c r="O3" s="2413"/>
      <c r="P3" s="2413"/>
      <c r="Q3" s="2413"/>
      <c r="R3" s="2413"/>
      <c r="S3" s="2413"/>
      <c r="T3" s="2413"/>
      <c r="U3" s="2413"/>
      <c r="V3" s="2413"/>
      <c r="W3" s="2413"/>
      <c r="X3" s="2413"/>
      <c r="Y3" s="2413"/>
      <c r="Z3" s="2413"/>
    </row>
    <row r="4" spans="1:26">
      <c r="N4" s="2414" t="s">
        <v>1603</v>
      </c>
      <c r="O4" s="2414"/>
      <c r="P4" s="2414"/>
      <c r="Q4" s="2414"/>
      <c r="R4" s="2414"/>
      <c r="S4" s="2414"/>
      <c r="T4" s="2414"/>
      <c r="U4" s="2414"/>
      <c r="V4" s="2414"/>
      <c r="W4" s="2414"/>
      <c r="X4" s="2414"/>
      <c r="Y4" s="2414"/>
      <c r="Z4" s="2414"/>
    </row>
    <row r="6" spans="1:26">
      <c r="B6" s="2415"/>
      <c r="C6" s="2415"/>
      <c r="D6" s="2415"/>
      <c r="E6" s="2415"/>
      <c r="F6" s="2415"/>
      <c r="G6" s="2415"/>
      <c r="H6" s="2415"/>
      <c r="I6" s="2415"/>
      <c r="J6" s="2415"/>
      <c r="K6" s="2415"/>
      <c r="L6" s="2415"/>
      <c r="M6" s="2415"/>
      <c r="N6" s="2416" t="s">
        <v>751</v>
      </c>
    </row>
    <row r="7" spans="1:26" ht="57" customHeight="1">
      <c r="A7" s="2417" t="s">
        <v>3122</v>
      </c>
      <c r="B7" s="2417"/>
      <c r="C7" s="2417"/>
      <c r="D7" s="2417"/>
      <c r="E7" s="2417"/>
      <c r="F7" s="2417"/>
      <c r="G7" s="2417"/>
      <c r="H7" s="2417"/>
      <c r="I7" s="2417"/>
      <c r="J7" s="2417"/>
      <c r="K7" s="2417"/>
      <c r="L7" s="2417"/>
      <c r="M7" s="2417"/>
    </row>
    <row r="8" spans="1:26" ht="11.45" customHeight="1">
      <c r="A8" s="2415"/>
      <c r="B8" s="2415"/>
      <c r="C8" s="2415"/>
      <c r="D8" s="2415"/>
      <c r="E8" s="2415"/>
      <c r="F8" s="2415"/>
      <c r="G8" s="2415"/>
      <c r="H8" s="2415"/>
      <c r="I8" s="2415"/>
      <c r="J8" s="2415"/>
      <c r="K8" s="2415"/>
      <c r="L8" s="2415"/>
      <c r="M8" s="2415"/>
    </row>
    <row r="9" spans="1:26">
      <c r="A9" s="2415" t="s">
        <v>756</v>
      </c>
      <c r="B9" s="2415"/>
      <c r="C9" s="2415"/>
      <c r="D9" s="2415"/>
      <c r="E9" s="2415"/>
      <c r="F9" s="2415"/>
      <c r="G9" s="2415"/>
      <c r="H9" s="2415"/>
      <c r="I9" s="2415"/>
      <c r="J9" s="2415"/>
      <c r="K9" s="2415"/>
      <c r="L9" s="2415"/>
      <c r="M9" s="2415"/>
    </row>
    <row r="10" spans="1:26" ht="11.45" customHeight="1">
      <c r="A10" s="2415"/>
      <c r="B10" s="2415"/>
      <c r="C10" s="2415"/>
      <c r="D10" s="2415"/>
      <c r="E10" s="2415"/>
      <c r="F10" s="2415"/>
      <c r="G10" s="2415"/>
      <c r="H10" s="2415"/>
      <c r="I10" s="2415"/>
      <c r="J10" s="2415"/>
      <c r="K10" s="2415"/>
      <c r="L10" s="2415"/>
      <c r="M10" s="2415"/>
    </row>
    <row r="11" spans="1:26">
      <c r="A11" s="2418" t="s">
        <v>2040</v>
      </c>
      <c r="B11" s="2418"/>
      <c r="C11" s="2418"/>
      <c r="D11" s="2418"/>
      <c r="E11" s="2418"/>
      <c r="F11" s="2418"/>
      <c r="G11" s="2418"/>
      <c r="H11" s="2418"/>
      <c r="I11" s="2418"/>
      <c r="J11" s="2418"/>
      <c r="K11" s="2418"/>
      <c r="L11" s="2418"/>
      <c r="M11" s="2418"/>
    </row>
    <row r="12" spans="1:26" ht="6.75" customHeight="1">
      <c r="A12" s="2418"/>
      <c r="B12" s="2418"/>
      <c r="C12" s="2418"/>
      <c r="D12" s="2418"/>
      <c r="E12" s="2418"/>
      <c r="F12" s="2418"/>
      <c r="G12" s="2418"/>
      <c r="H12" s="2418"/>
      <c r="I12" s="2418"/>
      <c r="J12" s="2418"/>
      <c r="K12" s="2418"/>
      <c r="L12" s="2418"/>
      <c r="M12" s="2418"/>
    </row>
    <row r="13" spans="1:26" ht="44.25" customHeight="1">
      <c r="A13" s="2419" t="s">
        <v>3383</v>
      </c>
      <c r="B13" s="2419"/>
      <c r="C13" s="2419"/>
      <c r="D13" s="2419"/>
      <c r="E13" s="2419"/>
      <c r="F13" s="2419"/>
      <c r="G13" s="2419"/>
      <c r="H13" s="2419"/>
      <c r="I13" s="2419"/>
      <c r="J13" s="2419"/>
      <c r="K13" s="2419"/>
      <c r="L13" s="2419"/>
      <c r="M13" s="2419"/>
    </row>
    <row r="14" spans="1:26" ht="3" customHeight="1">
      <c r="A14" s="2418"/>
      <c r="B14" s="2418"/>
      <c r="C14" s="2418"/>
      <c r="D14" s="2418"/>
      <c r="E14" s="2418"/>
      <c r="F14" s="2418"/>
      <c r="G14" s="2418"/>
      <c r="H14" s="2418"/>
      <c r="I14" s="2418"/>
      <c r="J14" s="2418"/>
      <c r="K14" s="2418"/>
      <c r="L14" s="2418"/>
      <c r="M14" s="2418"/>
    </row>
    <row r="15" spans="1:26" ht="87.75" customHeight="1">
      <c r="A15" s="2420" t="s">
        <v>1860</v>
      </c>
      <c r="B15" s="2421" t="s">
        <v>3123</v>
      </c>
      <c r="C15" s="2421"/>
      <c r="D15" s="2421"/>
      <c r="E15" s="2421"/>
      <c r="F15" s="2421"/>
      <c r="G15" s="2421"/>
      <c r="H15" s="2421"/>
      <c r="I15" s="2421"/>
      <c r="J15" s="2421"/>
      <c r="K15" s="2421"/>
      <c r="L15" s="2421"/>
      <c r="M15" s="2421"/>
    </row>
    <row r="16" spans="1:26" ht="3" customHeight="1">
      <c r="A16" s="2418"/>
      <c r="B16" s="2418"/>
      <c r="C16" s="2418"/>
      <c r="D16" s="2418"/>
      <c r="E16" s="2418"/>
      <c r="F16" s="2418"/>
      <c r="G16" s="2418"/>
      <c r="H16" s="2418"/>
      <c r="I16" s="2418"/>
      <c r="J16" s="2418"/>
      <c r="K16" s="2418"/>
      <c r="L16" s="2418"/>
      <c r="M16" s="2418"/>
    </row>
    <row r="17" spans="1:13" ht="58.5" customHeight="1">
      <c r="A17" s="2420" t="s">
        <v>1861</v>
      </c>
      <c r="B17" s="2421" t="s">
        <v>3124</v>
      </c>
      <c r="C17" s="2421"/>
      <c r="D17" s="2421"/>
      <c r="E17" s="2421"/>
      <c r="F17" s="2421"/>
      <c r="G17" s="2421"/>
      <c r="H17" s="2421"/>
      <c r="I17" s="2421"/>
      <c r="J17" s="2421"/>
      <c r="K17" s="2421"/>
      <c r="L17" s="2421"/>
      <c r="M17" s="2421"/>
    </row>
    <row r="18" spans="1:13" ht="3" customHeight="1">
      <c r="A18" s="2418"/>
      <c r="B18" s="2418"/>
      <c r="C18" s="2418"/>
      <c r="D18" s="2418"/>
      <c r="E18" s="2418"/>
      <c r="F18" s="2418"/>
      <c r="G18" s="2418"/>
      <c r="H18" s="2418"/>
      <c r="I18" s="2418"/>
      <c r="J18" s="2418"/>
      <c r="K18" s="2418"/>
      <c r="L18" s="2418"/>
      <c r="M18" s="2418"/>
    </row>
    <row r="19" spans="1:13" ht="115.5" customHeight="1">
      <c r="A19" s="2420" t="s">
        <v>1862</v>
      </c>
      <c r="B19" s="2421" t="s">
        <v>686</v>
      </c>
      <c r="C19" s="2421"/>
      <c r="D19" s="2421"/>
      <c r="E19" s="2421"/>
      <c r="F19" s="2421"/>
      <c r="G19" s="2421"/>
      <c r="H19" s="2421"/>
      <c r="I19" s="2421"/>
      <c r="J19" s="2421"/>
      <c r="K19" s="2421"/>
      <c r="L19" s="2421"/>
      <c r="M19" s="2421"/>
    </row>
    <row r="20" spans="1:13" ht="3" customHeight="1">
      <c r="A20" s="2418"/>
      <c r="B20" s="2418"/>
      <c r="C20" s="2418"/>
      <c r="D20" s="2418"/>
      <c r="E20" s="2418"/>
      <c r="F20" s="2418"/>
      <c r="G20" s="2418"/>
      <c r="H20" s="2418"/>
      <c r="I20" s="2418"/>
      <c r="J20" s="2418"/>
      <c r="K20" s="2418"/>
      <c r="L20" s="2418"/>
      <c r="M20" s="2418"/>
    </row>
    <row r="21" spans="1:13" ht="149.25" customHeight="1">
      <c r="A21" s="2420" t="s">
        <v>2520</v>
      </c>
      <c r="B21" s="2421" t="s">
        <v>3584</v>
      </c>
      <c r="C21" s="2421"/>
      <c r="D21" s="2421"/>
      <c r="E21" s="2421"/>
      <c r="F21" s="2421"/>
      <c r="G21" s="2421"/>
      <c r="H21" s="2421"/>
      <c r="I21" s="2421"/>
      <c r="J21" s="2421"/>
      <c r="K21" s="2421"/>
      <c r="L21" s="2421"/>
      <c r="M21" s="2421"/>
    </row>
    <row r="22" spans="1:13" ht="3" customHeight="1">
      <c r="A22" s="2418"/>
      <c r="B22" s="2418"/>
      <c r="C22" s="2418"/>
      <c r="D22" s="2418"/>
      <c r="E22" s="2418"/>
      <c r="F22" s="2418"/>
      <c r="G22" s="2418"/>
      <c r="H22" s="2418"/>
      <c r="I22" s="2418"/>
      <c r="J22" s="2418"/>
      <c r="K22" s="2418"/>
      <c r="L22" s="2418"/>
      <c r="M22" s="2418"/>
    </row>
    <row r="23" spans="1:13" ht="44.25" customHeight="1">
      <c r="A23" s="2420" t="s">
        <v>1658</v>
      </c>
      <c r="B23" s="2421" t="s">
        <v>730</v>
      </c>
      <c r="C23" s="2421"/>
      <c r="D23" s="2421"/>
      <c r="E23" s="2421"/>
      <c r="F23" s="2421"/>
      <c r="G23" s="2421"/>
      <c r="H23" s="2421"/>
      <c r="I23" s="2421"/>
      <c r="J23" s="2421"/>
      <c r="K23" s="2421"/>
      <c r="L23" s="2421"/>
      <c r="M23" s="2421"/>
    </row>
    <row r="24" spans="1:13" ht="165" customHeight="1">
      <c r="A24" s="2420" t="s">
        <v>1659</v>
      </c>
      <c r="B24" s="2421" t="s">
        <v>3585</v>
      </c>
      <c r="C24" s="2421"/>
      <c r="D24" s="2421"/>
      <c r="E24" s="2421"/>
      <c r="F24" s="2421"/>
      <c r="G24" s="2421"/>
      <c r="H24" s="2421"/>
      <c r="I24" s="2421"/>
      <c r="J24" s="2421"/>
      <c r="K24" s="2421"/>
      <c r="L24" s="2421"/>
      <c r="M24" s="2421"/>
    </row>
    <row r="25" spans="1:13" ht="3" customHeight="1">
      <c r="A25" s="2418"/>
      <c r="B25" s="2418"/>
      <c r="C25" s="2418"/>
      <c r="D25" s="2418"/>
      <c r="E25" s="2418"/>
      <c r="F25" s="2418"/>
      <c r="G25" s="2418"/>
      <c r="H25" s="2418"/>
      <c r="I25" s="2418"/>
      <c r="J25" s="2418"/>
      <c r="K25" s="2418"/>
      <c r="L25" s="2418"/>
      <c r="M25" s="2418"/>
    </row>
    <row r="26" spans="1:13" ht="44.25" customHeight="1">
      <c r="A26" s="2420" t="s">
        <v>101</v>
      </c>
      <c r="B26" s="2421" t="s">
        <v>3125</v>
      </c>
      <c r="C26" s="2421"/>
      <c r="D26" s="2421"/>
      <c r="E26" s="2421"/>
      <c r="F26" s="2421"/>
      <c r="G26" s="2421"/>
      <c r="H26" s="2421"/>
      <c r="I26" s="2421"/>
      <c r="J26" s="2421"/>
      <c r="K26" s="2421"/>
      <c r="L26" s="2421"/>
      <c r="M26" s="2421"/>
    </row>
    <row r="27" spans="1:13" ht="3" customHeight="1">
      <c r="A27" s="2418"/>
      <c r="B27" s="2418"/>
      <c r="C27" s="2418"/>
      <c r="D27" s="2418"/>
      <c r="E27" s="2418"/>
      <c r="F27" s="2418"/>
      <c r="G27" s="2418"/>
      <c r="H27" s="2418"/>
      <c r="I27" s="2418"/>
      <c r="J27" s="2418"/>
      <c r="K27" s="2418"/>
      <c r="L27" s="2418"/>
      <c r="M27" s="2418"/>
    </row>
    <row r="28" spans="1:13" ht="15" customHeight="1">
      <c r="A28" s="2420" t="s">
        <v>545</v>
      </c>
      <c r="B28" s="2421" t="s">
        <v>1562</v>
      </c>
      <c r="C28" s="2421"/>
      <c r="D28" s="2421"/>
      <c r="E28" s="2421"/>
      <c r="F28" s="2421"/>
      <c r="G28" s="2421"/>
      <c r="H28" s="2421"/>
      <c r="I28" s="2421"/>
      <c r="J28" s="2421"/>
      <c r="K28" s="2421"/>
      <c r="L28" s="2421"/>
      <c r="M28" s="2421"/>
    </row>
    <row r="29" spans="1:13" ht="4.5" customHeight="1">
      <c r="A29" s="2418"/>
      <c r="B29" s="2418"/>
      <c r="C29" s="2418"/>
      <c r="D29" s="2418"/>
      <c r="E29" s="2418"/>
      <c r="F29" s="2418"/>
      <c r="G29" s="2418"/>
      <c r="H29" s="2418"/>
      <c r="I29" s="2418"/>
      <c r="J29" s="2418"/>
      <c r="K29" s="2418"/>
      <c r="L29" s="2418"/>
      <c r="M29" s="2418"/>
    </row>
    <row r="30" spans="1:13" ht="15" customHeight="1">
      <c r="A30" s="2418" t="s">
        <v>1563</v>
      </c>
      <c r="B30" s="2418"/>
      <c r="C30" s="2418"/>
      <c r="D30" s="2418"/>
      <c r="E30" s="2418"/>
      <c r="F30" s="2418"/>
      <c r="G30" s="2418"/>
      <c r="H30" s="2418"/>
      <c r="I30" s="2418"/>
      <c r="J30" s="2418"/>
      <c r="K30" s="2418"/>
      <c r="L30" s="2418"/>
      <c r="M30" s="2418"/>
    </row>
    <row r="31" spans="1:13" ht="3" customHeight="1">
      <c r="A31" s="2418"/>
      <c r="B31" s="2418"/>
      <c r="C31" s="2418"/>
      <c r="D31" s="2418"/>
      <c r="E31" s="2418"/>
      <c r="F31" s="2418"/>
      <c r="G31" s="2418"/>
      <c r="H31" s="2418"/>
      <c r="I31" s="2418"/>
      <c r="J31" s="2418"/>
      <c r="K31" s="2418"/>
      <c r="L31" s="2418"/>
      <c r="M31" s="2418"/>
    </row>
    <row r="32" spans="1:13" ht="28.5" customHeight="1">
      <c r="A32" s="2422" t="s">
        <v>1564</v>
      </c>
      <c r="B32" s="2421" t="s">
        <v>3126</v>
      </c>
      <c r="C32" s="2421"/>
      <c r="D32" s="2421"/>
      <c r="E32" s="2421"/>
      <c r="F32" s="2421"/>
      <c r="G32" s="2421"/>
      <c r="H32" s="2421"/>
      <c r="I32" s="2421"/>
      <c r="J32" s="2421"/>
      <c r="K32" s="2421"/>
      <c r="L32" s="2421"/>
      <c r="M32" s="2421"/>
    </row>
    <row r="33" spans="1:13" ht="3" customHeight="1">
      <c r="A33" s="2418"/>
      <c r="B33" s="2418"/>
      <c r="C33" s="2418"/>
      <c r="D33" s="2418"/>
      <c r="E33" s="2418"/>
      <c r="F33" s="2418"/>
      <c r="G33" s="2418"/>
      <c r="H33" s="2418"/>
      <c r="I33" s="2418"/>
      <c r="J33" s="2418"/>
      <c r="K33" s="2418"/>
      <c r="L33" s="2418"/>
      <c r="M33" s="2418"/>
    </row>
    <row r="34" spans="1:13" ht="43.5" customHeight="1">
      <c r="A34" s="2422" t="s">
        <v>1564</v>
      </c>
      <c r="B34" s="2421" t="s">
        <v>3127</v>
      </c>
      <c r="C34" s="2421"/>
      <c r="D34" s="2421"/>
      <c r="E34" s="2421"/>
      <c r="F34" s="2421"/>
      <c r="G34" s="2421"/>
      <c r="H34" s="2421"/>
      <c r="I34" s="2421"/>
      <c r="J34" s="2421"/>
      <c r="K34" s="2421"/>
      <c r="L34" s="2421"/>
      <c r="M34" s="2421"/>
    </row>
    <row r="35" spans="1:13" ht="3" customHeight="1">
      <c r="A35" s="2418"/>
      <c r="B35" s="2418"/>
      <c r="C35" s="2418"/>
      <c r="D35" s="2418"/>
      <c r="E35" s="2418"/>
      <c r="F35" s="2418"/>
      <c r="G35" s="2418"/>
      <c r="H35" s="2418"/>
      <c r="I35" s="2418"/>
      <c r="J35" s="2418"/>
      <c r="K35" s="2418"/>
      <c r="L35" s="2418"/>
      <c r="M35" s="2418"/>
    </row>
    <row r="36" spans="1:13" ht="72.75" customHeight="1">
      <c r="A36" s="2422" t="s">
        <v>1564</v>
      </c>
      <c r="B36" s="2421" t="s">
        <v>3128</v>
      </c>
      <c r="C36" s="2421"/>
      <c r="D36" s="2421"/>
      <c r="E36" s="2421"/>
      <c r="F36" s="2421"/>
      <c r="G36" s="2421"/>
      <c r="H36" s="2421"/>
      <c r="I36" s="2421"/>
      <c r="J36" s="2421"/>
      <c r="K36" s="2421"/>
      <c r="L36" s="2421"/>
      <c r="M36" s="2421"/>
    </row>
    <row r="37" spans="1:13" ht="9" customHeight="1">
      <c r="A37" s="2418"/>
      <c r="B37" s="2418"/>
      <c r="C37" s="2418"/>
      <c r="D37" s="2418"/>
      <c r="E37" s="2418"/>
      <c r="F37" s="2418"/>
      <c r="G37" s="2418"/>
      <c r="H37" s="2418"/>
      <c r="I37" s="2418"/>
      <c r="J37" s="2418"/>
      <c r="K37" s="2418"/>
      <c r="L37" s="2418"/>
      <c r="M37" s="2418"/>
    </row>
    <row r="38" spans="1:13" ht="29.25" customHeight="1">
      <c r="A38" s="2421" t="s">
        <v>1003</v>
      </c>
      <c r="B38" s="2421"/>
      <c r="C38" s="2421"/>
      <c r="D38" s="2421"/>
      <c r="E38" s="2421"/>
      <c r="F38" s="2421"/>
      <c r="G38" s="2421"/>
      <c r="H38" s="2421"/>
      <c r="I38" s="2421"/>
      <c r="J38" s="2421"/>
      <c r="K38" s="2421"/>
      <c r="L38" s="2421"/>
      <c r="M38" s="2421"/>
    </row>
    <row r="39" spans="1:13" ht="3" customHeight="1">
      <c r="A39" s="2418"/>
      <c r="B39" s="2418"/>
      <c r="C39" s="2418"/>
      <c r="D39" s="2418"/>
      <c r="E39" s="2418"/>
      <c r="F39" s="2418"/>
      <c r="G39" s="2418"/>
      <c r="H39" s="2418"/>
      <c r="I39" s="2418"/>
      <c r="J39" s="2418"/>
      <c r="K39" s="2418"/>
      <c r="L39" s="2418"/>
      <c r="M39" s="2418"/>
    </row>
    <row r="40" spans="1:13" ht="29.25" customHeight="1">
      <c r="A40" s="2421" t="s">
        <v>3129</v>
      </c>
      <c r="B40" s="2421"/>
      <c r="C40" s="2421"/>
      <c r="D40" s="2421"/>
      <c r="E40" s="2421"/>
      <c r="F40" s="2421"/>
      <c r="G40" s="2421"/>
      <c r="H40" s="2421"/>
      <c r="I40" s="2421"/>
      <c r="J40" s="2421"/>
      <c r="K40" s="2421"/>
      <c r="L40" s="2421"/>
      <c r="M40" s="2421"/>
    </row>
    <row r="41" spans="1:13" ht="3" customHeight="1">
      <c r="A41" s="2418"/>
      <c r="B41" s="2418"/>
      <c r="C41" s="2418"/>
      <c r="D41" s="2418"/>
      <c r="E41" s="2418"/>
      <c r="F41" s="2418"/>
      <c r="G41" s="2418"/>
      <c r="H41" s="2418"/>
      <c r="I41" s="2418"/>
      <c r="J41" s="2418"/>
      <c r="K41" s="2418"/>
      <c r="L41" s="2418"/>
      <c r="M41" s="2418"/>
    </row>
    <row r="42" spans="1:13">
      <c r="A42" s="2418" t="s">
        <v>979</v>
      </c>
      <c r="B42" s="2418"/>
      <c r="C42" s="2418"/>
      <c r="D42" s="2418"/>
      <c r="E42" s="2418"/>
      <c r="F42" s="2418"/>
      <c r="G42" s="2418"/>
      <c r="H42" s="2418"/>
      <c r="I42" s="2418"/>
      <c r="J42" s="2418"/>
      <c r="K42" s="2418"/>
      <c r="L42" s="2418"/>
      <c r="M42" s="2418"/>
    </row>
    <row r="43" spans="1:13">
      <c r="A43" s="2423"/>
      <c r="B43" s="2423"/>
      <c r="C43" s="2423"/>
      <c r="D43" s="2423"/>
      <c r="E43" s="2423"/>
      <c r="F43" s="2423"/>
      <c r="G43" s="2423"/>
      <c r="H43" s="2423"/>
      <c r="I43" s="2423"/>
      <c r="J43" s="2423"/>
      <c r="K43" s="2423"/>
      <c r="L43" s="2423"/>
      <c r="M43" s="2423"/>
    </row>
    <row r="44" spans="1:13">
      <c r="A44" s="2424"/>
      <c r="B44" s="2424"/>
      <c r="C44" s="2424"/>
      <c r="D44" s="2424"/>
      <c r="E44" s="2424"/>
      <c r="F44" s="2424"/>
      <c r="G44" s="2425"/>
      <c r="H44" s="2424"/>
      <c r="I44" s="2424"/>
      <c r="J44" s="2424"/>
      <c r="K44" s="2424"/>
      <c r="L44" s="2424"/>
      <c r="M44" s="2424"/>
    </row>
    <row r="45" spans="1:13" ht="12" customHeight="1">
      <c r="A45" s="2426" t="s">
        <v>980</v>
      </c>
      <c r="B45" s="2426"/>
      <c r="C45" s="2426"/>
      <c r="D45" s="2426"/>
      <c r="E45" s="2426"/>
      <c r="F45" s="2426"/>
      <c r="G45" s="2425"/>
      <c r="H45" s="2426" t="s">
        <v>2116</v>
      </c>
      <c r="I45" s="2426"/>
      <c r="J45" s="2426"/>
      <c r="K45" s="2426"/>
      <c r="L45" s="2426"/>
      <c r="M45" s="2426"/>
    </row>
    <row r="46" spans="1:13">
      <c r="A46" s="2425"/>
      <c r="B46" s="2425"/>
      <c r="C46" s="2425"/>
      <c r="D46" s="2425"/>
      <c r="E46" s="2425"/>
      <c r="F46" s="2425"/>
      <c r="G46" s="2425"/>
      <c r="H46" s="2425"/>
      <c r="I46" s="2425"/>
      <c r="J46" s="2425"/>
      <c r="K46" s="2425"/>
      <c r="L46" s="2425"/>
      <c r="M46" s="2425"/>
    </row>
    <row r="47" spans="1:13">
      <c r="A47" s="2424"/>
      <c r="B47" s="2424"/>
      <c r="C47" s="2424"/>
      <c r="D47" s="2424"/>
      <c r="E47" s="2424"/>
      <c r="F47" s="2424"/>
      <c r="G47" s="2425"/>
      <c r="H47" s="2427"/>
      <c r="I47" s="2427"/>
      <c r="J47" s="2427"/>
      <c r="K47" s="2427"/>
      <c r="L47" s="2427"/>
      <c r="M47" s="2427"/>
    </row>
    <row r="48" spans="1:13" ht="12" customHeight="1">
      <c r="A48" s="2426" t="s">
        <v>981</v>
      </c>
      <c r="B48" s="2426"/>
      <c r="C48" s="2426"/>
      <c r="D48" s="2426"/>
      <c r="E48" s="2426"/>
      <c r="F48" s="2426"/>
      <c r="G48" s="2425"/>
      <c r="H48" s="2426" t="s">
        <v>982</v>
      </c>
      <c r="I48" s="2426"/>
      <c r="J48" s="2426"/>
      <c r="K48" s="2426"/>
      <c r="L48" s="2426"/>
      <c r="M48" s="2426"/>
    </row>
    <row r="49" spans="1:13" ht="11.45" customHeight="1">
      <c r="A49" s="2418"/>
      <c r="B49" s="2418"/>
      <c r="C49" s="2418"/>
      <c r="D49" s="2418"/>
      <c r="E49" s="2418"/>
      <c r="F49" s="2418"/>
      <c r="G49" s="2418"/>
      <c r="H49" s="2418"/>
      <c r="I49" s="2418"/>
      <c r="J49" s="2418"/>
      <c r="K49" s="2418"/>
      <c r="L49" s="2418"/>
      <c r="M49" s="2418"/>
    </row>
    <row r="50" spans="1:13" ht="11.45" customHeight="1">
      <c r="A50" s="2415"/>
      <c r="B50" s="2415"/>
      <c r="C50" s="2415"/>
      <c r="D50" s="2415"/>
      <c r="E50" s="2415"/>
      <c r="F50" s="2415"/>
      <c r="G50" s="2415"/>
      <c r="H50" s="2428" t="s">
        <v>983</v>
      </c>
      <c r="I50" s="2428"/>
      <c r="J50" s="2428"/>
      <c r="K50" s="2428"/>
      <c r="L50" s="2428"/>
      <c r="M50" s="2428"/>
    </row>
    <row r="51" spans="1:13" ht="11.45" customHeight="1">
      <c r="A51" s="2415"/>
      <c r="B51" s="2415"/>
      <c r="C51" s="2415"/>
      <c r="D51" s="2415"/>
      <c r="E51" s="2415"/>
      <c r="F51" s="2415"/>
      <c r="G51" s="2415"/>
    </row>
    <row r="52" spans="1:13" ht="11.45" customHeight="1">
      <c r="A52" s="2415"/>
      <c r="B52" s="2415"/>
      <c r="C52" s="2415"/>
      <c r="D52" s="2415"/>
      <c r="E52" s="2415"/>
      <c r="F52" s="2415"/>
      <c r="G52" s="2415"/>
      <c r="H52" s="2415"/>
      <c r="I52" s="2415"/>
      <c r="J52" s="2415"/>
      <c r="K52" s="2415"/>
      <c r="L52" s="2415"/>
      <c r="M52" s="2415"/>
    </row>
    <row r="53" spans="1:13" ht="11.45" customHeight="1">
      <c r="A53" s="2415"/>
      <c r="B53" s="2415"/>
      <c r="C53" s="2415"/>
      <c r="D53" s="2415"/>
      <c r="E53" s="2415"/>
      <c r="F53" s="2415"/>
      <c r="G53" s="2415"/>
      <c r="H53" s="2415"/>
      <c r="I53" s="2415"/>
      <c r="J53" s="2415"/>
      <c r="K53" s="2415"/>
      <c r="L53" s="2415"/>
      <c r="M53" s="2415"/>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3" t="s">
        <v>772</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1849</v>
      </c>
      <c r="B4" s="333"/>
      <c r="C4" s="333"/>
      <c r="D4" s="208"/>
      <c r="E4" s="208"/>
      <c r="F4" s="333" t="s">
        <v>1850</v>
      </c>
      <c r="G4" s="333"/>
      <c r="H4" s="208"/>
      <c r="I4" s="208"/>
      <c r="J4" s="333" t="s">
        <v>1851</v>
      </c>
      <c r="K4" s="333"/>
      <c r="L4" s="333"/>
      <c r="M4" s="333"/>
      <c r="N4" s="333"/>
      <c r="O4" s="333"/>
      <c r="P4" s="208"/>
      <c r="Q4" s="334" t="s">
        <v>1852</v>
      </c>
      <c r="R4" s="335" t="s">
        <v>1853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1854</v>
      </c>
      <c r="B6" s="210"/>
      <c r="C6" s="210"/>
      <c r="D6" s="208"/>
      <c r="E6" s="208"/>
      <c r="F6" s="210" t="s">
        <v>541</v>
      </c>
      <c r="G6" s="210"/>
      <c r="H6" s="208"/>
      <c r="I6" s="208"/>
      <c r="J6" s="210" t="s">
        <v>1855</v>
      </c>
      <c r="K6" s="210"/>
      <c r="L6" s="210"/>
      <c r="M6" s="210"/>
      <c r="N6" s="210"/>
      <c r="O6" s="210"/>
      <c r="P6" s="208"/>
      <c r="Q6" s="338" t="s">
        <v>1856</v>
      </c>
      <c r="R6" s="338">
        <v>1000000</v>
      </c>
      <c r="S6" s="208"/>
      <c r="U6" s="208"/>
      <c r="V6" s="339"/>
      <c r="W6" s="339"/>
      <c r="X6" s="211"/>
    </row>
    <row r="7" spans="1:26" s="332" customFormat="1" ht="11.45" customHeight="1">
      <c r="A7" s="337"/>
      <c r="B7" s="210"/>
      <c r="C7" s="210"/>
      <c r="D7" s="208"/>
      <c r="E7" s="208"/>
      <c r="F7" s="210"/>
      <c r="G7" s="210"/>
      <c r="H7" s="208"/>
      <c r="I7" s="208"/>
      <c r="J7" s="210" t="s">
        <v>1855</v>
      </c>
      <c r="L7" s="210" t="s">
        <v>3409</v>
      </c>
      <c r="M7" s="210"/>
      <c r="N7" s="210"/>
      <c r="O7" s="210"/>
      <c r="P7" s="208"/>
      <c r="Q7" s="338" t="s">
        <v>1856</v>
      </c>
      <c r="R7" s="338">
        <v>1200000</v>
      </c>
      <c r="S7" s="208"/>
      <c r="T7" s="208"/>
      <c r="U7" s="208"/>
      <c r="V7" s="339"/>
      <c r="W7" s="339"/>
      <c r="X7" s="211"/>
    </row>
    <row r="8" spans="1:26" s="332" customFormat="1" ht="11.45" customHeight="1">
      <c r="A8" s="337"/>
      <c r="B8" s="210"/>
      <c r="C8" s="210"/>
      <c r="D8" s="208"/>
      <c r="E8" s="208"/>
      <c r="F8" s="210"/>
      <c r="G8" s="210"/>
      <c r="H8" s="208"/>
      <c r="I8" s="208"/>
      <c r="J8" s="210" t="s">
        <v>1335</v>
      </c>
      <c r="K8" s="210"/>
      <c r="L8" s="210"/>
      <c r="M8" s="210"/>
      <c r="N8" s="210"/>
      <c r="O8" s="210"/>
      <c r="P8" s="208"/>
      <c r="Q8" s="338" t="s">
        <v>1856</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1856</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517</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1336</v>
      </c>
      <c r="G12" s="210"/>
      <c r="H12" s="208"/>
      <c r="I12" s="208"/>
      <c r="J12" s="344">
        <v>110481</v>
      </c>
      <c r="K12" s="344">
        <v>126647</v>
      </c>
      <c r="L12" s="344">
        <v>154003</v>
      </c>
      <c r="M12" s="344">
        <v>199229</v>
      </c>
      <c r="N12" s="344">
        <v>199229</v>
      </c>
      <c r="O12" s="210"/>
      <c r="Q12" s="338" t="s">
        <v>1856</v>
      </c>
      <c r="R12" s="338">
        <f>'Part VI-Revenues &amp; Expenses'!$H$62*$J12+'Part VI-Revenues &amp; Expenses'!$I$62*$K12+'Part VI-Revenues &amp; Expenses'!$J$62*$L12+'Part VI-Revenues &amp; Expenses'!$K$62*$M12+'Part VI-Revenues &amp; Expenses'!$L$62*$N12</f>
        <v>20135370</v>
      </c>
      <c r="S12" s="358" t="s">
        <v>825</v>
      </c>
      <c r="T12" s="340"/>
      <c r="U12" s="208"/>
      <c r="V12" s="341"/>
      <c r="W12" s="341"/>
      <c r="X12" s="341"/>
    </row>
    <row r="13" spans="1:26" s="332" customFormat="1" ht="11.45" customHeight="1">
      <c r="A13" s="210"/>
      <c r="B13" s="210"/>
      <c r="C13" s="210"/>
      <c r="D13" s="208"/>
      <c r="E13" s="208"/>
      <c r="F13" s="210" t="s">
        <v>1337</v>
      </c>
      <c r="G13" s="210"/>
      <c r="H13" s="208"/>
      <c r="I13" s="208"/>
      <c r="J13" s="344">
        <v>121529</v>
      </c>
      <c r="K13" s="344">
        <v>139312</v>
      </c>
      <c r="L13" s="344">
        <v>169403</v>
      </c>
      <c r="M13" s="344">
        <v>219152</v>
      </c>
      <c r="N13" s="344">
        <v>219152</v>
      </c>
      <c r="O13" s="210"/>
      <c r="Q13" s="338" t="s">
        <v>1856</v>
      </c>
      <c r="R13" s="338">
        <f>'Part VI-Revenues &amp; Expenses'!$H$62*$J13+'Part VI-Revenues &amp; Expenses'!$I$62*$K13+'Part VI-Revenues &amp; Expenses'!$J$62*$L13+'Part VI-Revenues &amp; Expenses'!$K$62*$M13+'Part VI-Revenues &amp; Expenses'!$L$62*$N13</f>
        <v>22148912</v>
      </c>
      <c r="S13" s="358" t="s">
        <v>825</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1268</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1268</v>
      </c>
      <c r="C16" s="210"/>
      <c r="D16" s="208"/>
      <c r="E16" s="208"/>
      <c r="F16" s="210" t="s">
        <v>1269</v>
      </c>
      <c r="G16" s="210" t="s">
        <v>1283</v>
      </c>
      <c r="H16" s="208"/>
      <c r="I16" s="208"/>
      <c r="J16" s="210" t="s">
        <v>1637</v>
      </c>
      <c r="K16" s="210"/>
      <c r="L16" s="210"/>
      <c r="M16" s="210"/>
      <c r="N16" s="210"/>
      <c r="O16" s="210"/>
      <c r="P16" s="208"/>
      <c r="Q16" s="212">
        <v>4500</v>
      </c>
      <c r="R16" s="347" t="s">
        <v>1856</v>
      </c>
      <c r="S16" s="348"/>
    </row>
    <row r="17" spans="1:21" s="332" customFormat="1" ht="11.45" customHeight="1">
      <c r="A17" s="208"/>
      <c r="B17" s="210"/>
      <c r="C17" s="210"/>
      <c r="D17" s="208"/>
      <c r="E17" s="208"/>
      <c r="F17" s="210"/>
      <c r="G17" s="210" t="s">
        <v>1711</v>
      </c>
      <c r="H17" s="208"/>
      <c r="I17" s="208"/>
      <c r="J17" s="210" t="s">
        <v>1637</v>
      </c>
      <c r="K17" s="210"/>
      <c r="L17" s="210"/>
      <c r="M17" s="210"/>
      <c r="N17" s="210"/>
      <c r="O17" s="210"/>
      <c r="P17" s="208"/>
      <c r="Q17" s="212">
        <v>4000</v>
      </c>
      <c r="R17" s="347" t="s">
        <v>1856</v>
      </c>
      <c r="S17" s="348"/>
    </row>
    <row r="18" spans="1:21" s="332" customFormat="1" ht="11.45" customHeight="1">
      <c r="A18" s="210"/>
      <c r="B18" s="210"/>
      <c r="C18" s="210"/>
      <c r="D18" s="208"/>
      <c r="E18" s="208"/>
      <c r="F18" s="210" t="s">
        <v>2041</v>
      </c>
      <c r="G18" s="210"/>
      <c r="H18" s="208"/>
      <c r="I18" s="208"/>
      <c r="J18" s="210" t="s">
        <v>1637</v>
      </c>
      <c r="K18" s="210"/>
      <c r="L18" s="210"/>
      <c r="M18" s="210"/>
      <c r="N18" s="210"/>
      <c r="O18" s="210"/>
      <c r="P18" s="208"/>
      <c r="Q18" s="212">
        <v>3000</v>
      </c>
      <c r="R18" s="347" t="s">
        <v>1856</v>
      </c>
      <c r="S18" s="348"/>
    </row>
    <row r="19" spans="1:21" s="332" customFormat="1" ht="11.45" customHeight="1">
      <c r="A19" s="210"/>
      <c r="B19" s="210"/>
      <c r="C19" s="210"/>
      <c r="D19" s="208"/>
      <c r="E19" s="208"/>
      <c r="F19" s="210" t="s">
        <v>2886</v>
      </c>
      <c r="G19" s="210"/>
      <c r="H19" s="208"/>
      <c r="I19" s="208"/>
      <c r="J19" s="210" t="s">
        <v>1637</v>
      </c>
      <c r="K19" s="210"/>
      <c r="L19" s="210"/>
      <c r="M19" s="210"/>
      <c r="N19" s="210"/>
      <c r="O19" s="210"/>
      <c r="P19" s="208"/>
      <c r="Q19" s="212">
        <v>3000</v>
      </c>
      <c r="R19" s="347" t="s">
        <v>1856</v>
      </c>
      <c r="S19" s="348"/>
      <c r="T19" s="348"/>
      <c r="U19" s="348"/>
    </row>
    <row r="20" spans="1:21" s="332" customFormat="1" ht="11.45" customHeight="1">
      <c r="A20" s="210"/>
      <c r="B20" s="210" t="s">
        <v>1270</v>
      </c>
      <c r="C20" s="210"/>
      <c r="D20" s="208"/>
      <c r="E20" s="208"/>
      <c r="F20" s="210" t="s">
        <v>292</v>
      </c>
      <c r="G20" s="210"/>
      <c r="H20" s="208"/>
      <c r="I20" s="208"/>
      <c r="J20" s="210" t="s">
        <v>1637</v>
      </c>
      <c r="K20" s="210"/>
      <c r="L20" s="210"/>
      <c r="M20" s="210"/>
      <c r="N20" s="210"/>
      <c r="O20" s="210"/>
      <c r="P20" s="208"/>
      <c r="Q20" s="349">
        <v>350</v>
      </c>
      <c r="R20" s="347" t="s">
        <v>1856</v>
      </c>
      <c r="S20" s="348"/>
      <c r="T20" s="348"/>
      <c r="U20" s="348"/>
    </row>
    <row r="21" spans="1:21" s="332" customFormat="1" ht="11.45" customHeight="1">
      <c r="A21" s="210"/>
      <c r="B21" s="210"/>
      <c r="C21" s="210"/>
      <c r="D21" s="208"/>
      <c r="E21" s="208"/>
      <c r="F21" s="210" t="s">
        <v>1271</v>
      </c>
      <c r="G21" s="210"/>
      <c r="H21" s="208"/>
      <c r="I21" s="208"/>
      <c r="J21" s="210" t="s">
        <v>1637</v>
      </c>
      <c r="K21" s="210"/>
      <c r="L21" s="210"/>
      <c r="M21" s="210"/>
      <c r="N21" s="210"/>
      <c r="O21" s="210"/>
      <c r="P21" s="208"/>
      <c r="Q21" s="349">
        <v>250</v>
      </c>
      <c r="R21" s="347" t="s">
        <v>1856</v>
      </c>
      <c r="S21" s="348"/>
      <c r="T21" s="348"/>
      <c r="U21" s="348"/>
    </row>
    <row r="22" spans="1:21" s="332" customFormat="1" ht="11.45" customHeight="1">
      <c r="A22" s="210"/>
      <c r="B22" s="210"/>
      <c r="C22" s="210"/>
      <c r="D22" s="210"/>
      <c r="E22" s="208"/>
      <c r="F22" s="210" t="s">
        <v>1272</v>
      </c>
      <c r="G22" s="210"/>
      <c r="H22" s="208"/>
      <c r="I22" s="208"/>
      <c r="J22" s="210" t="s">
        <v>1637</v>
      </c>
      <c r="K22" s="210"/>
      <c r="L22" s="210"/>
      <c r="M22" s="210"/>
      <c r="N22" s="210"/>
      <c r="O22" s="210"/>
      <c r="P22" s="208"/>
      <c r="Q22" s="349">
        <v>420</v>
      </c>
      <c r="R22" s="347" t="s">
        <v>1856</v>
      </c>
      <c r="S22" s="348"/>
      <c r="T22" s="348"/>
      <c r="U22" s="348"/>
    </row>
    <row r="23" spans="1:21" s="332" customFormat="1" ht="11.45" customHeight="1">
      <c r="A23" s="210"/>
      <c r="B23" s="210"/>
      <c r="C23" s="210"/>
      <c r="D23" s="210"/>
      <c r="E23" s="208"/>
      <c r="F23" s="210" t="s">
        <v>1224</v>
      </c>
      <c r="G23" s="210"/>
      <c r="H23" s="208"/>
      <c r="I23" s="208"/>
      <c r="J23" s="210" t="s">
        <v>1637</v>
      </c>
      <c r="K23" s="210"/>
      <c r="L23" s="210"/>
      <c r="M23" s="210"/>
      <c r="N23" s="210"/>
      <c r="O23" s="210"/>
      <c r="P23" s="208"/>
      <c r="Q23" s="349">
        <v>420</v>
      </c>
      <c r="R23" s="347" t="s">
        <v>1856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1273</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1274</v>
      </c>
      <c r="C26" s="210"/>
      <c r="D26" s="210"/>
      <c r="E26" s="208"/>
      <c r="F26" s="213" t="s">
        <v>1275</v>
      </c>
      <c r="G26" s="210"/>
      <c r="H26" s="208"/>
      <c r="I26" s="208"/>
      <c r="J26" s="210" t="s">
        <v>1276</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1275</v>
      </c>
      <c r="G27" s="210"/>
      <c r="H27" s="208"/>
      <c r="I27" s="208"/>
      <c r="J27" s="210" t="s">
        <v>1277</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1278</v>
      </c>
      <c r="G28" s="210"/>
      <c r="H28" s="208"/>
      <c r="I28" s="208"/>
      <c r="J28" s="210" t="s">
        <v>1276</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1278</v>
      </c>
      <c r="G29" s="210"/>
      <c r="H29" s="208"/>
      <c r="I29" s="208"/>
      <c r="J29" s="210" t="s">
        <v>1277</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811</v>
      </c>
      <c r="G30" s="210"/>
      <c r="H30" s="208"/>
      <c r="I30" s="208"/>
      <c r="J30" s="210" t="s">
        <v>1276</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811</v>
      </c>
      <c r="G31" s="210"/>
      <c r="H31" s="208"/>
      <c r="I31" s="208"/>
      <c r="J31" s="210" t="s">
        <v>1277</v>
      </c>
      <c r="K31" s="210"/>
      <c r="L31" s="210"/>
      <c r="M31" s="210"/>
      <c r="N31" s="210"/>
      <c r="O31" s="210"/>
      <c r="P31" s="208"/>
      <c r="Q31" s="1571">
        <v>6000</v>
      </c>
      <c r="R31" s="1572"/>
      <c r="S31" s="348"/>
      <c r="T31" s="348"/>
      <c r="U31" s="348"/>
    </row>
    <row r="32" spans="1:21" s="332" customFormat="1" ht="11.45" customHeight="1">
      <c r="A32" s="210"/>
      <c r="B32" s="210" t="s">
        <v>812</v>
      </c>
      <c r="C32" s="210"/>
      <c r="D32" s="208"/>
      <c r="E32" s="208"/>
      <c r="F32" s="210" t="s">
        <v>292</v>
      </c>
      <c r="G32" s="210"/>
      <c r="H32" s="208"/>
      <c r="I32" s="208"/>
      <c r="J32" s="210" t="s">
        <v>2954</v>
      </c>
      <c r="K32" s="210"/>
      <c r="L32" s="210"/>
      <c r="M32" s="210"/>
      <c r="N32" s="210"/>
      <c r="O32" s="210"/>
      <c r="P32" s="208"/>
      <c r="Q32" s="338">
        <v>25000</v>
      </c>
      <c r="R32" s="347" t="s">
        <v>540</v>
      </c>
      <c r="S32" s="348"/>
      <c r="T32" s="348"/>
      <c r="U32" s="348"/>
    </row>
    <row r="33" spans="1:21" s="332" customFormat="1" ht="11.45" customHeight="1">
      <c r="A33" s="210"/>
      <c r="B33" s="210" t="s">
        <v>2097</v>
      </c>
      <c r="C33" s="210"/>
      <c r="D33" s="208"/>
      <c r="E33" s="208"/>
      <c r="F33" s="210" t="s">
        <v>1271</v>
      </c>
      <c r="G33" s="210"/>
      <c r="H33" s="208"/>
      <c r="I33" s="208"/>
      <c r="J33" s="210" t="s">
        <v>1029</v>
      </c>
      <c r="K33" s="210"/>
      <c r="L33" s="210"/>
      <c r="M33" s="210"/>
      <c r="N33" s="210"/>
      <c r="O33" s="210"/>
      <c r="P33" s="208"/>
      <c r="Q33" s="1176" t="s">
        <v>1030</v>
      </c>
      <c r="R33" s="1176">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1176" t="s">
        <v>1030</v>
      </c>
      <c r="R34" s="338">
        <v>500000</v>
      </c>
      <c r="S34" s="348"/>
      <c r="T34" s="348"/>
      <c r="U34" s="348"/>
    </row>
    <row r="35" spans="1:21" s="332" customFormat="1" ht="11.45" customHeight="1">
      <c r="A35" s="210"/>
      <c r="B35" s="210"/>
      <c r="C35" s="210"/>
      <c r="D35" s="208"/>
      <c r="E35" s="208"/>
      <c r="F35" s="210" t="s">
        <v>292</v>
      </c>
      <c r="G35" s="210"/>
      <c r="H35" s="208"/>
      <c r="I35" s="208"/>
      <c r="J35" s="210" t="s">
        <v>1029</v>
      </c>
      <c r="K35" s="210"/>
      <c r="L35" s="210"/>
      <c r="M35" s="210"/>
      <c r="N35" s="210"/>
      <c r="O35" s="210"/>
      <c r="P35" s="208"/>
      <c r="Q35" s="1176" t="s">
        <v>1030</v>
      </c>
      <c r="R35" s="1176">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1176" t="s">
        <v>1030</v>
      </c>
      <c r="R36" s="338">
        <v>500000</v>
      </c>
      <c r="S36" s="348"/>
      <c r="T36" s="348"/>
      <c r="U36" s="348"/>
    </row>
    <row r="37" spans="1:21" s="332" customFormat="1" ht="11.45" customHeight="1">
      <c r="A37" s="210"/>
      <c r="B37" s="210" t="s">
        <v>2176</v>
      </c>
      <c r="C37" s="210"/>
      <c r="D37" s="208"/>
      <c r="E37" s="208"/>
      <c r="F37" s="210" t="s">
        <v>1856</v>
      </c>
      <c r="G37" s="210"/>
      <c r="H37" s="208"/>
      <c r="I37" s="208"/>
      <c r="J37" s="210" t="s">
        <v>377</v>
      </c>
      <c r="K37" s="210"/>
      <c r="L37" s="210"/>
      <c r="M37" s="210"/>
      <c r="N37" s="210"/>
      <c r="O37" s="210"/>
      <c r="P37" s="208"/>
      <c r="Q37" s="347" t="s">
        <v>1856</v>
      </c>
      <c r="R37" s="1176">
        <v>0.06</v>
      </c>
      <c r="S37" s="348"/>
      <c r="T37" s="348"/>
      <c r="U37" s="348"/>
    </row>
    <row r="38" spans="1:21" s="332" customFormat="1" ht="11.45" customHeight="1">
      <c r="A38" s="210"/>
      <c r="B38" s="210" t="s">
        <v>2177</v>
      </c>
      <c r="C38" s="210"/>
      <c r="D38" s="208"/>
      <c r="E38" s="208"/>
      <c r="F38" s="210" t="s">
        <v>1856</v>
      </c>
      <c r="G38" s="210"/>
      <c r="H38" s="208"/>
      <c r="I38" s="208"/>
      <c r="J38" s="210" t="s">
        <v>377</v>
      </c>
      <c r="K38" s="210"/>
      <c r="L38" s="210"/>
      <c r="M38" s="210"/>
      <c r="N38" s="210"/>
      <c r="O38" s="210"/>
      <c r="P38" s="208"/>
      <c r="Q38" s="347" t="s">
        <v>1856</v>
      </c>
      <c r="R38" s="1176">
        <v>0.02</v>
      </c>
      <c r="S38" s="348"/>
      <c r="T38" s="348"/>
      <c r="U38" s="348"/>
    </row>
    <row r="39" spans="1:21" s="332" customFormat="1" ht="11.45" customHeight="1">
      <c r="A39" s="210"/>
      <c r="B39" s="210" t="s">
        <v>3292</v>
      </c>
      <c r="C39" s="210"/>
      <c r="D39" s="208"/>
      <c r="E39" s="208"/>
      <c r="F39" s="210" t="s">
        <v>1856</v>
      </c>
      <c r="G39" s="210"/>
      <c r="H39" s="208"/>
      <c r="I39" s="208"/>
      <c r="J39" s="210" t="s">
        <v>377</v>
      </c>
      <c r="K39" s="210"/>
      <c r="L39" s="210"/>
      <c r="M39" s="210"/>
      <c r="N39" s="210"/>
      <c r="O39" s="210"/>
      <c r="P39" s="208"/>
      <c r="Q39" s="347" t="s">
        <v>1856</v>
      </c>
      <c r="R39" s="1176">
        <v>0.06</v>
      </c>
      <c r="S39" s="348"/>
      <c r="T39" s="348"/>
      <c r="U39" s="348"/>
    </row>
    <row r="40" spans="1:21" s="332" customFormat="1" ht="11.45" customHeight="1">
      <c r="A40" s="210"/>
      <c r="B40" s="213" t="s">
        <v>1005</v>
      </c>
      <c r="C40" s="210"/>
      <c r="D40" s="208"/>
      <c r="E40" s="208"/>
      <c r="F40" s="210" t="s">
        <v>1006</v>
      </c>
      <c r="G40" s="210"/>
      <c r="H40" s="208"/>
      <c r="I40" s="208"/>
      <c r="J40" s="210" t="s">
        <v>1007</v>
      </c>
      <c r="K40" s="210"/>
      <c r="L40" s="210"/>
      <c r="M40" s="210"/>
      <c r="N40" s="210"/>
      <c r="O40" s="210"/>
      <c r="P40" s="208"/>
      <c r="Q40" s="1570">
        <v>0.08</v>
      </c>
      <c r="R40" s="1570"/>
      <c r="S40" s="348"/>
      <c r="T40" s="348"/>
      <c r="U40" s="348"/>
    </row>
    <row r="41" spans="1:21" s="332" customFormat="1" ht="11.45" customHeight="1">
      <c r="A41" s="210"/>
      <c r="B41" s="213" t="s">
        <v>1008</v>
      </c>
      <c r="C41" s="210"/>
      <c r="D41" s="208"/>
      <c r="E41" s="208"/>
      <c r="F41" s="210" t="s">
        <v>1006</v>
      </c>
      <c r="G41" s="210"/>
      <c r="H41" s="208"/>
      <c r="I41" s="208"/>
      <c r="J41" s="210" t="s">
        <v>1007</v>
      </c>
      <c r="K41" s="210"/>
      <c r="L41" s="210"/>
      <c r="M41" s="210"/>
      <c r="N41" s="210"/>
      <c r="O41" s="210"/>
      <c r="P41" s="208"/>
      <c r="Q41" s="1570">
        <v>0.08</v>
      </c>
      <c r="R41" s="1570"/>
      <c r="S41" s="348"/>
      <c r="T41" s="348"/>
      <c r="U41" s="348"/>
    </row>
    <row r="42" spans="1:21" s="332" customFormat="1" ht="11.45" customHeight="1">
      <c r="A42" s="210"/>
      <c r="B42" s="213" t="s">
        <v>497</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1009</v>
      </c>
      <c r="C44" s="210"/>
      <c r="D44" s="208"/>
      <c r="E44" s="208"/>
      <c r="F44" s="210" t="s">
        <v>1721</v>
      </c>
      <c r="G44" s="210"/>
      <c r="H44" s="208"/>
      <c r="I44" s="208"/>
      <c r="J44" s="210" t="s">
        <v>1637</v>
      </c>
      <c r="K44" s="210"/>
      <c r="L44" s="210"/>
      <c r="M44" s="210"/>
      <c r="N44" s="210"/>
      <c r="O44" s="210"/>
      <c r="P44" s="208"/>
      <c r="Q44" s="347">
        <v>800</v>
      </c>
      <c r="R44" s="347" t="s">
        <v>1856</v>
      </c>
      <c r="S44" s="348"/>
      <c r="T44" s="348"/>
      <c r="U44" s="348"/>
    </row>
    <row r="45" spans="1:21" s="332" customFormat="1" ht="11.45" customHeight="1">
      <c r="A45" s="210"/>
      <c r="B45" s="210"/>
      <c r="C45" s="210"/>
      <c r="D45" s="208"/>
      <c r="E45" s="208"/>
      <c r="F45" s="210" t="s">
        <v>2889</v>
      </c>
      <c r="G45" s="210"/>
      <c r="H45" s="208"/>
      <c r="I45" s="208"/>
      <c r="J45" s="210" t="s">
        <v>1637</v>
      </c>
      <c r="K45" s="210"/>
      <c r="L45" s="210"/>
      <c r="M45" s="210"/>
      <c r="N45" s="210"/>
      <c r="O45" s="210"/>
      <c r="P45" s="208"/>
      <c r="Q45" s="347">
        <v>400</v>
      </c>
      <c r="R45" s="347" t="s">
        <v>1856</v>
      </c>
      <c r="S45" s="348"/>
      <c r="T45" s="348"/>
      <c r="U45" s="348"/>
    </row>
    <row r="46" spans="1:21" s="332" customFormat="1" ht="11.45" customHeight="1">
      <c r="A46" s="210"/>
      <c r="B46" s="210"/>
      <c r="C46" s="210"/>
      <c r="D46" s="208"/>
      <c r="E46" s="208"/>
      <c r="F46" s="210" t="s">
        <v>3298</v>
      </c>
      <c r="G46" s="210"/>
      <c r="H46" s="208"/>
      <c r="I46" s="208"/>
      <c r="J46" s="210" t="s">
        <v>2887</v>
      </c>
      <c r="K46" s="210"/>
      <c r="L46" s="210"/>
      <c r="M46" s="210"/>
      <c r="N46" s="210"/>
      <c r="O46" s="210"/>
      <c r="P46" s="208"/>
      <c r="Q46" s="347">
        <v>1500</v>
      </c>
      <c r="R46" s="347" t="s">
        <v>1856</v>
      </c>
      <c r="S46" s="348"/>
      <c r="T46" s="348"/>
      <c r="U46" s="348"/>
    </row>
    <row r="47" spans="1:21" s="332" customFormat="1" ht="11.45" customHeight="1">
      <c r="A47" s="210"/>
      <c r="B47" s="213"/>
      <c r="C47" s="210"/>
      <c r="D47" s="208"/>
      <c r="E47" s="208"/>
      <c r="F47" s="210" t="s">
        <v>3296</v>
      </c>
      <c r="G47" s="210"/>
      <c r="H47" s="208"/>
      <c r="I47" s="208"/>
      <c r="J47" s="210" t="s">
        <v>1637</v>
      </c>
      <c r="K47" s="210"/>
      <c r="L47" s="210" t="s">
        <v>3297</v>
      </c>
      <c r="M47" s="210"/>
      <c r="N47" s="210"/>
      <c r="O47" s="210"/>
      <c r="P47" s="208"/>
      <c r="Q47" s="1571">
        <v>55</v>
      </c>
      <c r="R47" s="1572"/>
      <c r="S47" s="348"/>
      <c r="T47" s="348"/>
      <c r="U47" s="348"/>
    </row>
    <row r="48" spans="1:21" s="332" customFormat="1" ht="11.45" customHeight="1">
      <c r="A48" s="210"/>
      <c r="B48" s="210" t="s">
        <v>1992</v>
      </c>
      <c r="C48" s="210"/>
      <c r="D48" s="208"/>
      <c r="E48" s="208"/>
      <c r="F48" s="210"/>
      <c r="G48" s="210"/>
      <c r="H48" s="210"/>
      <c r="I48" s="208"/>
      <c r="J48" s="210" t="s">
        <v>1853</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1835</v>
      </c>
      <c r="G49" s="210"/>
      <c r="H49" s="210" t="s">
        <v>2445</v>
      </c>
      <c r="I49" s="208"/>
      <c r="J49" s="210" t="s">
        <v>1036</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1032</v>
      </c>
      <c r="I50" s="210" t="s">
        <v>1033</v>
      </c>
      <c r="J50" s="210" t="s">
        <v>1035</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1034</v>
      </c>
      <c r="J51" s="210" t="s">
        <v>1037</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1031</v>
      </c>
      <c r="I52" s="208"/>
      <c r="J52" s="210" t="s">
        <v>1037</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1038</v>
      </c>
      <c r="J53" s="210" t="s">
        <v>1039</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1883</v>
      </c>
      <c r="G54" s="210"/>
      <c r="H54" s="210"/>
      <c r="I54" s="208"/>
      <c r="J54" s="210" t="s">
        <v>2528</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2529</v>
      </c>
      <c r="K55" s="210"/>
      <c r="L55" s="210"/>
      <c r="M55" s="210"/>
      <c r="N55" s="210"/>
      <c r="O55" s="210"/>
      <c r="P55" s="208"/>
      <c r="Q55" s="1570" t="s">
        <v>2530</v>
      </c>
      <c r="R55" s="1570"/>
      <c r="S55" s="348"/>
      <c r="T55" s="348"/>
      <c r="U55" s="348"/>
    </row>
    <row r="56" spans="1:21" s="332" customFormat="1" ht="11.45" customHeight="1">
      <c r="A56" s="210"/>
      <c r="B56" s="465"/>
      <c r="C56" s="210"/>
      <c r="D56" s="208"/>
      <c r="E56" s="208"/>
      <c r="F56" s="210" t="s">
        <v>2171</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2170</v>
      </c>
      <c r="G57" s="210"/>
      <c r="I57" s="208"/>
      <c r="J57" s="210"/>
      <c r="K57" s="210"/>
      <c r="L57" s="210"/>
      <c r="M57" s="210"/>
      <c r="N57" s="210"/>
      <c r="O57" s="210"/>
      <c r="P57" s="208"/>
      <c r="Q57" s="1176">
        <v>0</v>
      </c>
      <c r="R57" s="1176">
        <v>0.5</v>
      </c>
      <c r="S57" s="348"/>
      <c r="T57" s="348"/>
      <c r="U57" s="348"/>
    </row>
    <row r="58" spans="1:21" s="332" customFormat="1" ht="11.45" customHeight="1">
      <c r="A58" s="210"/>
      <c r="B58" s="210" t="s">
        <v>1884</v>
      </c>
      <c r="C58" s="210"/>
      <c r="D58" s="210"/>
      <c r="E58" s="210"/>
      <c r="F58" s="210"/>
      <c r="G58" s="210"/>
      <c r="H58" s="208"/>
      <c r="I58" s="208"/>
      <c r="J58" s="210" t="s">
        <v>1885</v>
      </c>
      <c r="K58" s="210"/>
      <c r="L58" s="210"/>
      <c r="M58" s="210"/>
      <c r="N58" s="210"/>
      <c r="O58" s="210"/>
      <c r="P58" s="208"/>
      <c r="Q58" s="350">
        <v>6</v>
      </c>
      <c r="R58" s="347" t="s">
        <v>1856</v>
      </c>
      <c r="S58" s="348"/>
      <c r="T58" s="348"/>
      <c r="U58" s="348"/>
    </row>
    <row r="59" spans="1:21" s="332" customFormat="1" ht="11.45" customHeight="1">
      <c r="A59" s="210"/>
      <c r="B59" s="210"/>
      <c r="C59" s="210"/>
      <c r="D59" s="210"/>
      <c r="E59" s="210"/>
      <c r="F59" s="210"/>
      <c r="G59" s="210"/>
      <c r="H59" s="208"/>
      <c r="I59" s="208"/>
      <c r="J59" s="210" t="s">
        <v>1886</v>
      </c>
      <c r="K59" s="210"/>
      <c r="L59" s="210"/>
      <c r="M59" s="210"/>
      <c r="N59" s="210"/>
      <c r="O59" s="210"/>
      <c r="P59" s="208"/>
      <c r="Q59" s="350">
        <v>6</v>
      </c>
      <c r="R59" s="347" t="s">
        <v>1856</v>
      </c>
      <c r="S59" s="348"/>
      <c r="T59" s="348"/>
      <c r="U59" s="348"/>
    </row>
    <row r="60" spans="1:21" s="332" customFormat="1" ht="11.45" customHeight="1">
      <c r="A60" s="210"/>
      <c r="B60" s="468" t="s">
        <v>2172</v>
      </c>
      <c r="C60" s="210"/>
      <c r="D60" s="208"/>
      <c r="E60" s="208"/>
      <c r="F60" s="210"/>
      <c r="G60" s="210"/>
      <c r="I60" s="208"/>
      <c r="J60" s="210" t="s">
        <v>2173</v>
      </c>
      <c r="K60" s="210"/>
      <c r="L60" s="210"/>
      <c r="M60" s="210"/>
      <c r="N60" s="210"/>
      <c r="O60" s="210"/>
      <c r="P60" s="208"/>
      <c r="Q60" s="350">
        <v>3</v>
      </c>
      <c r="R60" s="347" t="s">
        <v>1856</v>
      </c>
      <c r="S60" s="348"/>
      <c r="T60" s="348"/>
      <c r="U60" s="348"/>
    </row>
    <row r="61" spans="1:21" s="332" customFormat="1" ht="11.45" customHeight="1">
      <c r="A61" s="210"/>
      <c r="B61" s="213" t="s">
        <v>1887</v>
      </c>
      <c r="C61" s="210"/>
      <c r="D61" s="208"/>
      <c r="E61" s="210"/>
      <c r="F61" s="210"/>
      <c r="G61" s="210"/>
      <c r="H61" s="208"/>
      <c r="I61" s="208"/>
      <c r="J61" s="210" t="s">
        <v>1888</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2575</v>
      </c>
      <c r="C64" s="1167"/>
      <c r="D64" s="1167"/>
      <c r="E64" s="1167"/>
      <c r="F64" s="1167"/>
      <c r="G64" s="1167"/>
      <c r="J64" s="352">
        <v>1</v>
      </c>
      <c r="K64" s="352">
        <v>2</v>
      </c>
      <c r="L64" s="352">
        <v>3</v>
      </c>
      <c r="M64" s="352">
        <v>4</v>
      </c>
      <c r="N64" s="352">
        <v>5</v>
      </c>
      <c r="O64" s="352">
        <v>6</v>
      </c>
      <c r="P64" s="352">
        <v>7</v>
      </c>
      <c r="Q64" s="352">
        <v>8</v>
      </c>
    </row>
    <row r="65" spans="1:26" ht="10.9"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1890</v>
      </c>
      <c r="C66" s="210"/>
      <c r="D66" s="210"/>
      <c r="E66" s="210"/>
      <c r="F66" s="210"/>
      <c r="G66" s="210"/>
      <c r="H66" s="210"/>
      <c r="J66" s="210" t="s">
        <v>1891</v>
      </c>
      <c r="K66" s="210"/>
      <c r="L66" s="210"/>
      <c r="M66" s="210"/>
      <c r="N66" s="210"/>
      <c r="O66" s="210"/>
      <c r="Q66" s="1570">
        <v>0.02</v>
      </c>
      <c r="R66" s="1570"/>
    </row>
    <row r="67" spans="1:26" s="348" customFormat="1" ht="11.45" customHeight="1">
      <c r="A67" s="210"/>
      <c r="B67" s="210" t="s">
        <v>1892</v>
      </c>
      <c r="C67" s="210"/>
      <c r="D67" s="210"/>
      <c r="E67" s="210"/>
      <c r="F67" s="210"/>
      <c r="G67" s="210"/>
      <c r="H67" s="210"/>
      <c r="J67" s="210" t="s">
        <v>1891</v>
      </c>
      <c r="K67" s="210"/>
      <c r="L67" s="210"/>
      <c r="M67" s="210"/>
      <c r="N67" s="210"/>
      <c r="O67" s="210"/>
      <c r="Q67" s="1570">
        <v>7.0000000000000007E-2</v>
      </c>
      <c r="R67" s="1570"/>
    </row>
    <row r="68" spans="1:26" s="348" customFormat="1" ht="11.45" customHeight="1">
      <c r="A68" s="210"/>
      <c r="B68" s="210" t="s">
        <v>1893</v>
      </c>
      <c r="C68" s="210"/>
      <c r="D68" s="210"/>
      <c r="E68" s="210"/>
      <c r="F68" s="210"/>
      <c r="G68" s="210"/>
      <c r="H68" s="210"/>
      <c r="J68" s="210" t="s">
        <v>1891</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1891</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1891</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1891</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2783</v>
      </c>
      <c r="G73" s="210"/>
      <c r="H73" s="208"/>
      <c r="I73" s="208"/>
      <c r="J73" s="210" t="s">
        <v>2884</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1570">
        <v>0.15</v>
      </c>
      <c r="R74" s="1570"/>
      <c r="S74" s="340"/>
      <c r="T74" s="340"/>
      <c r="U74" s="208"/>
      <c r="V74" s="341"/>
      <c r="W74" s="341"/>
      <c r="X74" s="341"/>
    </row>
    <row r="75" spans="1:26" ht="4.5" customHeight="1"/>
    <row r="76" spans="1:26">
      <c r="A76" s="337" t="s">
        <v>3293</v>
      </c>
      <c r="F76" s="210" t="s">
        <v>2782</v>
      </c>
      <c r="G76" s="210"/>
      <c r="H76" s="208"/>
      <c r="I76" s="208"/>
      <c r="J76" s="210" t="s">
        <v>2884</v>
      </c>
      <c r="K76" s="210"/>
      <c r="L76" s="210"/>
      <c r="M76" s="210"/>
      <c r="N76" s="210"/>
      <c r="O76" s="210"/>
      <c r="P76" s="208"/>
      <c r="Q76" s="1570">
        <v>0.35</v>
      </c>
      <c r="R76" s="1570"/>
    </row>
    <row r="77" spans="1:26" s="332" customFormat="1" ht="12.75" customHeight="1">
      <c r="A77" s="337"/>
      <c r="B77" s="210"/>
      <c r="C77" s="210"/>
      <c r="D77" s="208"/>
      <c r="E77" s="208"/>
      <c r="F77" s="210" t="s">
        <v>3294</v>
      </c>
      <c r="G77" s="210"/>
      <c r="H77" s="208"/>
      <c r="I77" s="208"/>
      <c r="J77" s="210" t="s">
        <v>2884</v>
      </c>
      <c r="K77" s="210"/>
      <c r="L77" s="210"/>
      <c r="M77" s="210"/>
      <c r="N77" s="210"/>
      <c r="O77" s="210"/>
      <c r="P77" s="208"/>
      <c r="Q77" s="1570" t="s">
        <v>3295</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859</v>
      </c>
      <c r="K80" s="462"/>
      <c r="L80" s="330"/>
    </row>
    <row r="81" spans="3:12" ht="13.5">
      <c r="C81" s="642" t="s">
        <v>1360</v>
      </c>
      <c r="D81" s="461" t="s">
        <v>1098</v>
      </c>
      <c r="J81" s="463" t="s">
        <v>862</v>
      </c>
      <c r="K81" s="463" t="s">
        <v>860</v>
      </c>
      <c r="L81" s="464" t="s">
        <v>861</v>
      </c>
    </row>
    <row r="82" spans="3:12" ht="10.5" customHeight="1">
      <c r="C82" s="459" t="s">
        <v>1907</v>
      </c>
      <c r="D82" s="559">
        <v>41500</v>
      </c>
      <c r="E82" s="348"/>
      <c r="F82" s="348"/>
      <c r="J82" s="487">
        <v>0</v>
      </c>
      <c r="K82" s="487">
        <v>0.7</v>
      </c>
      <c r="L82" s="487">
        <v>1</v>
      </c>
    </row>
    <row r="83" spans="3:12" ht="10.5" customHeight="1">
      <c r="C83" s="459" t="s">
        <v>1290</v>
      </c>
      <c r="D83" s="559">
        <v>43700</v>
      </c>
      <c r="E83" s="348"/>
      <c r="F83" s="348"/>
      <c r="J83" s="487">
        <v>1</v>
      </c>
      <c r="K83" s="487">
        <v>0.75</v>
      </c>
      <c r="L83" s="487">
        <v>1.5</v>
      </c>
    </row>
    <row r="84" spans="3:12" ht="10.5" customHeight="1">
      <c r="C84" s="459" t="s">
        <v>1099</v>
      </c>
      <c r="D84" s="559">
        <v>55500</v>
      </c>
      <c r="E84" s="348"/>
      <c r="F84" s="348"/>
      <c r="J84" s="487">
        <v>2</v>
      </c>
      <c r="K84" s="487">
        <v>0.9</v>
      </c>
      <c r="L84" s="487">
        <v>3</v>
      </c>
    </row>
    <row r="85" spans="3:12" ht="10.5" customHeight="1">
      <c r="C85" s="459" t="s">
        <v>1903</v>
      </c>
      <c r="D85" s="559">
        <v>36700</v>
      </c>
      <c r="E85" s="348"/>
      <c r="F85" s="348"/>
      <c r="J85" s="487">
        <v>3</v>
      </c>
      <c r="K85" s="487">
        <v>1.04</v>
      </c>
      <c r="L85" s="487">
        <v>4.5</v>
      </c>
    </row>
    <row r="86" spans="3:12" ht="10.5" customHeight="1">
      <c r="C86" s="459" t="s">
        <v>816</v>
      </c>
      <c r="D86" s="559">
        <v>64400</v>
      </c>
      <c r="E86" s="348"/>
      <c r="F86" s="348"/>
      <c r="J86" s="487">
        <v>4</v>
      </c>
      <c r="K86" s="487">
        <v>1.1599999999999999</v>
      </c>
      <c r="L86" s="487">
        <v>6</v>
      </c>
    </row>
    <row r="87" spans="3:12" ht="10.5" customHeight="1">
      <c r="C87" s="459" t="s">
        <v>817</v>
      </c>
      <c r="D87" s="559">
        <v>55900</v>
      </c>
      <c r="E87" s="348"/>
      <c r="F87" s="348"/>
      <c r="J87" s="487">
        <v>5</v>
      </c>
      <c r="K87" s="487">
        <v>1.28</v>
      </c>
      <c r="L87" s="487">
        <v>7.5</v>
      </c>
    </row>
    <row r="88" spans="3:12" ht="10.5" customHeight="1">
      <c r="C88" s="459" t="s">
        <v>1905</v>
      </c>
      <c r="D88" s="559">
        <v>44500</v>
      </c>
      <c r="E88" s="348"/>
      <c r="F88" s="348"/>
    </row>
    <row r="89" spans="3:12" ht="10.5" customHeight="1">
      <c r="C89" s="459" t="s">
        <v>164</v>
      </c>
      <c r="D89" s="559">
        <v>51300</v>
      </c>
      <c r="E89" s="348"/>
      <c r="F89" s="348"/>
    </row>
    <row r="90" spans="3:12" ht="10.5" customHeight="1">
      <c r="C90" s="459" t="s">
        <v>1399</v>
      </c>
      <c r="D90" s="559">
        <v>51300</v>
      </c>
      <c r="E90" s="348"/>
      <c r="F90" s="348"/>
    </row>
    <row r="91" spans="3:12" ht="10.5" customHeight="1">
      <c r="C91" s="460" t="s">
        <v>1102</v>
      </c>
      <c r="D91" s="559">
        <v>39800</v>
      </c>
      <c r="E91" s="348"/>
      <c r="F91" s="348"/>
    </row>
    <row r="92" spans="3:12" ht="10.5" customHeight="1">
      <c r="C92" s="460" t="s">
        <v>1405</v>
      </c>
      <c r="D92" s="559">
        <v>43200</v>
      </c>
      <c r="E92" s="348"/>
      <c r="F92" s="348"/>
    </row>
    <row r="93" spans="3:12" ht="10.5" customHeight="1">
      <c r="C93" s="460" t="s">
        <v>1409</v>
      </c>
      <c r="D93" s="559">
        <v>53700</v>
      </c>
      <c r="E93" s="348"/>
      <c r="F93" s="348"/>
    </row>
    <row r="94" spans="3:12" ht="10.5" customHeight="1">
      <c r="C94" s="459" t="s">
        <v>12</v>
      </c>
      <c r="D94" s="559">
        <v>54800</v>
      </c>
      <c r="E94" s="348"/>
      <c r="F94" s="348"/>
    </row>
    <row r="95" spans="3:12" ht="10.5" customHeight="1">
      <c r="C95" s="460" t="s">
        <v>1415</v>
      </c>
      <c r="D95" s="559">
        <v>52700</v>
      </c>
      <c r="E95" s="348"/>
      <c r="F95" s="348"/>
    </row>
    <row r="96" spans="3:12" ht="10.5" customHeight="1">
      <c r="C96" s="459" t="s">
        <v>1100</v>
      </c>
      <c r="D96" s="559">
        <v>63500</v>
      </c>
      <c r="E96" s="348"/>
      <c r="F96" s="348"/>
    </row>
    <row r="97" spans="3:6" ht="10.5" customHeight="1">
      <c r="C97" s="460" t="s">
        <v>1420</v>
      </c>
      <c r="D97" s="559">
        <v>47300</v>
      </c>
      <c r="E97" s="348"/>
      <c r="F97" s="348"/>
    </row>
    <row r="98" spans="3:6" ht="10.5" customHeight="1">
      <c r="C98" s="460" t="s">
        <v>781</v>
      </c>
      <c r="D98" s="559">
        <v>62400</v>
      </c>
      <c r="E98" s="348"/>
      <c r="F98" s="348"/>
    </row>
    <row r="99" spans="3:6" ht="10.5" customHeight="1">
      <c r="C99" s="460" t="s">
        <v>783</v>
      </c>
      <c r="D99" s="559">
        <v>43100</v>
      </c>
      <c r="E99" s="348"/>
      <c r="F99" s="348"/>
    </row>
    <row r="100" spans="3:6" ht="10.5" customHeight="1">
      <c r="C100" s="459" t="s">
        <v>166</v>
      </c>
      <c r="D100" s="559">
        <v>50700</v>
      </c>
      <c r="E100" s="348"/>
      <c r="F100" s="348"/>
    </row>
    <row r="101" spans="3:6" ht="10.5" customHeight="1">
      <c r="C101" s="459" t="s">
        <v>1628</v>
      </c>
      <c r="D101" s="559">
        <v>54200</v>
      </c>
      <c r="E101" s="348"/>
      <c r="F101" s="348"/>
    </row>
    <row r="102" spans="3:6" ht="10.5" customHeight="1">
      <c r="C102" s="459" t="s">
        <v>171</v>
      </c>
      <c r="D102" s="559">
        <v>40700</v>
      </c>
      <c r="E102" s="348"/>
      <c r="F102" s="348"/>
    </row>
    <row r="103" spans="3:6" ht="10.5" customHeight="1">
      <c r="C103" s="459" t="s">
        <v>2651</v>
      </c>
      <c r="D103" s="559">
        <v>32600</v>
      </c>
      <c r="E103" s="348"/>
      <c r="F103" s="348"/>
    </row>
    <row r="104" spans="3:6" ht="10.5" customHeight="1">
      <c r="C104" s="460" t="s">
        <v>2654</v>
      </c>
      <c r="D104" s="559">
        <v>45300</v>
      </c>
      <c r="E104" s="348"/>
      <c r="F104" s="348"/>
    </row>
    <row r="105" spans="3:6" ht="10.5" customHeight="1">
      <c r="C105" s="460" t="s">
        <v>2657</v>
      </c>
      <c r="D105" s="559">
        <v>40800</v>
      </c>
      <c r="E105" s="348"/>
      <c r="F105" s="348"/>
    </row>
    <row r="106" spans="3:6" ht="10.5" customHeight="1">
      <c r="C106" s="460" t="s">
        <v>2701</v>
      </c>
      <c r="D106" s="559">
        <v>42600</v>
      </c>
      <c r="E106" s="348"/>
      <c r="F106" s="348"/>
    </row>
    <row r="107" spans="3:6" ht="10.5" customHeight="1">
      <c r="C107" s="459" t="s">
        <v>169</v>
      </c>
      <c r="D107" s="559">
        <v>51000</v>
      </c>
      <c r="E107" s="348"/>
      <c r="F107" s="348"/>
    </row>
    <row r="108" spans="3:6" ht="10.5" customHeight="1">
      <c r="C108" s="460" t="s">
        <v>2704</v>
      </c>
      <c r="D108" s="559">
        <v>47400</v>
      </c>
      <c r="E108" s="348"/>
      <c r="F108" s="348"/>
    </row>
    <row r="109" spans="3:6" ht="10.5" customHeight="1">
      <c r="C109" s="460" t="s">
        <v>202</v>
      </c>
      <c r="D109" s="559">
        <v>43900</v>
      </c>
      <c r="E109" s="348"/>
      <c r="F109" s="348"/>
    </row>
    <row r="110" spans="3:6" ht="10.5" customHeight="1">
      <c r="C110" s="460" t="s">
        <v>354</v>
      </c>
      <c r="D110" s="559">
        <v>40600</v>
      </c>
      <c r="E110" s="348"/>
      <c r="F110" s="348"/>
    </row>
    <row r="111" spans="3:6" ht="10.5" customHeight="1">
      <c r="C111" s="459" t="s">
        <v>206</v>
      </c>
      <c r="D111" s="559">
        <v>43200</v>
      </c>
      <c r="E111" s="348"/>
      <c r="F111" s="348"/>
    </row>
    <row r="112" spans="3:6" ht="10.5" customHeight="1">
      <c r="C112" s="459" t="s">
        <v>1010</v>
      </c>
      <c r="D112" s="559">
        <v>46300</v>
      </c>
      <c r="E112" s="348"/>
      <c r="F112" s="348"/>
    </row>
    <row r="113" spans="3:6" ht="10.5" customHeight="1">
      <c r="C113" s="460" t="s">
        <v>1012</v>
      </c>
      <c r="D113" s="559">
        <v>44400</v>
      </c>
      <c r="E113" s="348"/>
      <c r="F113" s="348"/>
    </row>
    <row r="114" spans="3:6" ht="10.5" customHeight="1">
      <c r="C114" s="459" t="s">
        <v>931</v>
      </c>
      <c r="D114" s="559">
        <v>42600</v>
      </c>
      <c r="E114" s="348"/>
      <c r="F114" s="348"/>
    </row>
    <row r="115" spans="3:6" ht="10.5" customHeight="1">
      <c r="C115" s="460" t="s">
        <v>935</v>
      </c>
      <c r="D115" s="559">
        <v>38900</v>
      </c>
      <c r="E115" s="348"/>
      <c r="F115" s="348"/>
    </row>
    <row r="116" spans="3:6" ht="10.5" customHeight="1">
      <c r="C116" s="460" t="s">
        <v>2392</v>
      </c>
      <c r="D116" s="559">
        <v>38700</v>
      </c>
      <c r="E116" s="348"/>
      <c r="F116" s="348"/>
    </row>
    <row r="117" spans="3:6" ht="10.5" customHeight="1">
      <c r="C117" s="460" t="s">
        <v>701</v>
      </c>
      <c r="D117" s="559">
        <v>46700</v>
      </c>
      <c r="E117" s="348"/>
      <c r="F117" s="348"/>
    </row>
    <row r="118" spans="3:6" ht="10.5" customHeight="1">
      <c r="C118" s="460" t="s">
        <v>703</v>
      </c>
      <c r="D118" s="559">
        <v>43700</v>
      </c>
      <c r="E118" s="348"/>
      <c r="F118" s="348"/>
    </row>
    <row r="119" spans="3:6" ht="10.5" customHeight="1">
      <c r="C119" s="460" t="s">
        <v>708</v>
      </c>
      <c r="D119" s="559">
        <v>45600</v>
      </c>
      <c r="E119" s="348"/>
      <c r="F119" s="348"/>
    </row>
    <row r="120" spans="3:6" ht="10.5" customHeight="1">
      <c r="C120" s="460" t="s">
        <v>1299</v>
      </c>
      <c r="D120" s="559">
        <v>56100</v>
      </c>
      <c r="E120" s="348"/>
      <c r="F120" s="348"/>
    </row>
    <row r="121" spans="3:6" ht="10.5" customHeight="1">
      <c r="C121" s="460" t="s">
        <v>710</v>
      </c>
      <c r="D121" s="559">
        <v>46200</v>
      </c>
      <c r="E121" s="348"/>
      <c r="F121" s="348"/>
    </row>
    <row r="122" spans="3:6" ht="10.5" customHeight="1">
      <c r="C122" s="460" t="s">
        <v>712</v>
      </c>
      <c r="D122" s="559">
        <v>50100</v>
      </c>
      <c r="E122" s="348"/>
      <c r="F122" s="348"/>
    </row>
    <row r="123" spans="3:6" ht="10.5" customHeight="1">
      <c r="C123" s="460" t="s">
        <v>715</v>
      </c>
      <c r="D123" s="559">
        <v>52000</v>
      </c>
      <c r="E123" s="348"/>
      <c r="F123" s="348"/>
    </row>
    <row r="124" spans="3:6" ht="10.5" customHeight="1">
      <c r="C124" s="460" t="s">
        <v>717</v>
      </c>
      <c r="D124" s="559">
        <v>42900</v>
      </c>
      <c r="E124" s="348"/>
      <c r="F124" s="348"/>
    </row>
    <row r="125" spans="3:6" ht="10.5" customHeight="1">
      <c r="C125" s="460" t="s">
        <v>719</v>
      </c>
      <c r="D125" s="559">
        <v>47000</v>
      </c>
      <c r="E125" s="348"/>
      <c r="F125" s="348"/>
    </row>
    <row r="126" spans="3:6" ht="10.5" customHeight="1">
      <c r="C126" s="460" t="s">
        <v>126</v>
      </c>
      <c r="D126" s="559">
        <v>52100</v>
      </c>
      <c r="E126" s="348"/>
      <c r="F126" s="348"/>
    </row>
    <row r="127" spans="3:6" ht="10.5" customHeight="1">
      <c r="C127" s="460" t="s">
        <v>332</v>
      </c>
      <c r="D127" s="559">
        <v>32900</v>
      </c>
      <c r="E127" s="348"/>
      <c r="F127" s="348"/>
    </row>
    <row r="128" spans="3:6" ht="10.5" customHeight="1">
      <c r="C128" s="460" t="s">
        <v>818</v>
      </c>
      <c r="D128" s="559">
        <v>46300</v>
      </c>
      <c r="E128" s="348"/>
      <c r="F128" s="348"/>
    </row>
    <row r="129" spans="3:6" ht="10.5" customHeight="1">
      <c r="C129" s="460" t="s">
        <v>336</v>
      </c>
      <c r="D129" s="559">
        <v>48900</v>
      </c>
      <c r="E129" s="348"/>
      <c r="F129" s="348"/>
    </row>
    <row r="130" spans="3:6" ht="10.5" customHeight="1">
      <c r="C130" s="460" t="s">
        <v>1101</v>
      </c>
      <c r="D130" s="559">
        <v>50000</v>
      </c>
      <c r="E130" s="348"/>
      <c r="F130" s="348"/>
    </row>
    <row r="131" spans="3:6" ht="10.5" customHeight="1">
      <c r="C131" s="460" t="s">
        <v>341</v>
      </c>
      <c r="D131" s="559">
        <v>52200</v>
      </c>
      <c r="E131" s="348"/>
      <c r="F131" s="348"/>
    </row>
    <row r="132" spans="3:6" ht="10.5" customHeight="1">
      <c r="C132" s="459" t="s">
        <v>343</v>
      </c>
      <c r="D132" s="559">
        <v>61500</v>
      </c>
      <c r="E132" s="348"/>
      <c r="F132" s="348"/>
    </row>
    <row r="133" spans="3:6" ht="10.5" customHeight="1">
      <c r="C133" s="460" t="s">
        <v>346</v>
      </c>
      <c r="D133" s="559">
        <v>45500</v>
      </c>
      <c r="E133" s="348"/>
      <c r="F133" s="348"/>
    </row>
    <row r="134" spans="3:6" ht="10.5" customHeight="1">
      <c r="C134" s="459" t="s">
        <v>348</v>
      </c>
      <c r="D134" s="559">
        <v>38600</v>
      </c>
      <c r="E134" s="348"/>
      <c r="F134" s="348"/>
    </row>
    <row r="135" spans="3:6" ht="10.5" customHeight="1">
      <c r="C135" s="460" t="s">
        <v>350</v>
      </c>
      <c r="D135" s="559">
        <v>27900</v>
      </c>
      <c r="E135" s="348"/>
      <c r="F135" s="348"/>
    </row>
    <row r="136" spans="3:6" ht="10.5" customHeight="1">
      <c r="C136" s="460" t="s">
        <v>352</v>
      </c>
      <c r="D136" s="559">
        <v>38900</v>
      </c>
      <c r="E136" s="348"/>
      <c r="F136" s="348"/>
    </row>
    <row r="137" spans="3:6" ht="10.5" customHeight="1">
      <c r="C137" s="460" t="s">
        <v>819</v>
      </c>
      <c r="D137" s="559">
        <v>46600</v>
      </c>
      <c r="E137" s="348"/>
      <c r="F137" s="348"/>
    </row>
    <row r="138" spans="3:6" ht="10.5" customHeight="1">
      <c r="C138" s="460" t="s">
        <v>1551</v>
      </c>
      <c r="D138" s="559">
        <v>47400</v>
      </c>
      <c r="E138" s="348"/>
      <c r="F138" s="348"/>
    </row>
    <row r="139" spans="3:6" ht="10.5" customHeight="1">
      <c r="C139" s="460" t="s">
        <v>1555</v>
      </c>
      <c r="D139" s="559">
        <v>46500</v>
      </c>
      <c r="E139" s="348"/>
      <c r="F139" s="348"/>
    </row>
    <row r="140" spans="3:6" ht="10.5" customHeight="1">
      <c r="C140" s="460" t="s">
        <v>1557</v>
      </c>
      <c r="D140" s="559">
        <v>49700</v>
      </c>
      <c r="E140" s="348"/>
      <c r="F140" s="348"/>
    </row>
    <row r="141" spans="3:6" ht="10.5" customHeight="1">
      <c r="C141" s="460" t="s">
        <v>185</v>
      </c>
      <c r="D141" s="559">
        <v>55200</v>
      </c>
      <c r="E141" s="348"/>
      <c r="F141" s="348"/>
    </row>
    <row r="142" spans="3:6" ht="10.5" customHeight="1">
      <c r="C142" s="460" t="s">
        <v>1407</v>
      </c>
      <c r="D142" s="559">
        <v>49800</v>
      </c>
      <c r="E142" s="348"/>
      <c r="F142" s="348"/>
    </row>
    <row r="143" spans="3:6" ht="10.5" customHeight="1">
      <c r="C143" s="460" t="s">
        <v>186</v>
      </c>
      <c r="D143" s="559">
        <v>38100</v>
      </c>
      <c r="E143" s="348"/>
      <c r="F143" s="348"/>
    </row>
    <row r="144" spans="3:6" ht="10.5" customHeight="1">
      <c r="C144" s="460" t="s">
        <v>821</v>
      </c>
      <c r="D144" s="559">
        <v>47500</v>
      </c>
      <c r="E144" s="348"/>
      <c r="F144" s="348"/>
    </row>
    <row r="145" spans="3:6" ht="10.5" customHeight="1">
      <c r="C145" s="460" t="s">
        <v>1744</v>
      </c>
      <c r="D145" s="559">
        <v>42800</v>
      </c>
      <c r="E145" s="348"/>
      <c r="F145" s="348"/>
    </row>
    <row r="146" spans="3:6" ht="10.5" customHeight="1">
      <c r="C146" s="460" t="s">
        <v>1746</v>
      </c>
      <c r="D146" s="559">
        <v>47700</v>
      </c>
      <c r="E146" s="348"/>
      <c r="F146" s="348"/>
    </row>
    <row r="147" spans="3:6" ht="10.5" customHeight="1">
      <c r="C147" s="460" t="s">
        <v>2181</v>
      </c>
      <c r="D147" s="559">
        <v>63200</v>
      </c>
      <c r="E147" s="348"/>
      <c r="F147" s="348"/>
    </row>
    <row r="148" spans="3:6" ht="10.5" customHeight="1">
      <c r="C148" s="460" t="s">
        <v>193</v>
      </c>
      <c r="D148" s="559">
        <v>46200</v>
      </c>
      <c r="E148" s="348"/>
      <c r="F148" s="348"/>
    </row>
    <row r="149" spans="3:6" ht="10.5" customHeight="1">
      <c r="C149" s="459" t="s">
        <v>2768</v>
      </c>
      <c r="D149" s="559">
        <v>62400</v>
      </c>
      <c r="E149" s="348"/>
      <c r="F149" s="348"/>
    </row>
    <row r="150" spans="3:6" ht="10.5" customHeight="1">
      <c r="C150" s="460" t="s">
        <v>2770</v>
      </c>
      <c r="D150" s="559">
        <v>44200</v>
      </c>
      <c r="E150" s="348"/>
      <c r="F150" s="348"/>
    </row>
    <row r="151" spans="3:6" ht="10.5" customHeight="1">
      <c r="C151" s="460" t="s">
        <v>1158</v>
      </c>
      <c r="D151" s="559">
        <v>55600</v>
      </c>
      <c r="E151" s="348"/>
      <c r="F151" s="348"/>
    </row>
    <row r="152" spans="3:6" ht="10.5" customHeight="1">
      <c r="C152" s="460" t="s">
        <v>1161</v>
      </c>
      <c r="D152" s="559">
        <v>48700</v>
      </c>
      <c r="E152" s="348"/>
      <c r="F152" s="348"/>
    </row>
    <row r="153" spans="3:6" ht="10.5" customHeight="1">
      <c r="C153" s="460" t="s">
        <v>1164</v>
      </c>
      <c r="D153" s="559">
        <v>49100</v>
      </c>
      <c r="E153" s="348"/>
      <c r="F153" s="348"/>
    </row>
    <row r="154" spans="3:6" ht="10.5" customHeight="1">
      <c r="C154" s="459" t="s">
        <v>1166</v>
      </c>
      <c r="D154" s="559">
        <v>47500</v>
      </c>
      <c r="E154" s="348"/>
      <c r="F154" s="348"/>
    </row>
    <row r="155" spans="3:6" ht="10.5" customHeight="1">
      <c r="C155" s="460" t="s">
        <v>1168</v>
      </c>
      <c r="D155" s="559">
        <v>51100</v>
      </c>
      <c r="E155" s="348"/>
      <c r="F155" s="348"/>
    </row>
    <row r="156" spans="3:6" ht="10.5" customHeight="1">
      <c r="C156" s="460" t="s">
        <v>1170</v>
      </c>
      <c r="D156" s="559">
        <v>38300</v>
      </c>
      <c r="E156" s="348"/>
      <c r="F156" s="348"/>
    </row>
    <row r="157" spans="3:6" ht="10.5" customHeight="1">
      <c r="C157" s="460" t="s">
        <v>1172</v>
      </c>
      <c r="D157" s="559">
        <v>52300</v>
      </c>
      <c r="E157" s="348"/>
      <c r="F157" s="348"/>
    </row>
    <row r="158" spans="3:6" ht="10.5" customHeight="1">
      <c r="C158" s="459" t="s">
        <v>1174</v>
      </c>
      <c r="D158" s="559">
        <v>36600</v>
      </c>
      <c r="E158" s="348"/>
      <c r="F158" s="348"/>
    </row>
    <row r="159" spans="3:6" ht="10.5" customHeight="1">
      <c r="C159" s="459" t="s">
        <v>2417</v>
      </c>
      <c r="D159" s="559">
        <v>52300</v>
      </c>
      <c r="E159" s="348"/>
      <c r="F159" s="348"/>
    </row>
    <row r="160" spans="3:6" ht="10.5" customHeight="1">
      <c r="C160" s="460" t="s">
        <v>1413</v>
      </c>
      <c r="D160" s="559">
        <v>58500</v>
      </c>
      <c r="E160" s="348"/>
      <c r="F160" s="348"/>
    </row>
    <row r="161" spans="3:6" ht="10.5" customHeight="1">
      <c r="C161" s="460" t="s">
        <v>2308</v>
      </c>
      <c r="D161" s="559">
        <v>51500</v>
      </c>
      <c r="E161" s="348"/>
      <c r="F161" s="348"/>
    </row>
    <row r="162" spans="3:6" ht="10.5" customHeight="1">
      <c r="C162" s="460" t="s">
        <v>2310</v>
      </c>
      <c r="D162" s="559">
        <v>46700</v>
      </c>
      <c r="E162" s="348"/>
      <c r="F162" s="348"/>
    </row>
    <row r="163" spans="3:6" ht="10.5" customHeight="1">
      <c r="C163" s="460" t="s">
        <v>2312</v>
      </c>
      <c r="D163" s="559">
        <v>40400</v>
      </c>
      <c r="E163" s="348"/>
      <c r="F163" s="348"/>
    </row>
    <row r="164" spans="3:6" ht="10.5" customHeight="1">
      <c r="C164" s="460" t="s">
        <v>2315</v>
      </c>
      <c r="D164" s="559">
        <v>49300</v>
      </c>
      <c r="E164" s="348"/>
      <c r="F164" s="348"/>
    </row>
    <row r="165" spans="3:6" ht="10.5" customHeight="1">
      <c r="C165" s="459" t="s">
        <v>2317</v>
      </c>
      <c r="D165" s="559">
        <v>41100</v>
      </c>
      <c r="E165" s="348"/>
      <c r="F165" s="348"/>
    </row>
    <row r="166" spans="3:6" ht="10.5" customHeight="1">
      <c r="C166" s="459" t="s">
        <v>2319</v>
      </c>
      <c r="D166" s="559">
        <v>45200</v>
      </c>
      <c r="E166" s="348"/>
      <c r="F166" s="348"/>
    </row>
    <row r="167" spans="3:6" ht="10.5" customHeight="1">
      <c r="C167" s="460" t="s">
        <v>2321</v>
      </c>
      <c r="D167" s="559">
        <v>46100</v>
      </c>
      <c r="E167" s="348"/>
      <c r="F167" s="348"/>
    </row>
    <row r="168" spans="3:6" ht="10.5" customHeight="1">
      <c r="C168" s="460" t="s">
        <v>2323</v>
      </c>
      <c r="D168" s="559">
        <v>32300</v>
      </c>
      <c r="E168" s="348"/>
      <c r="F168" s="348"/>
    </row>
    <row r="169" spans="3:6" ht="10.5" customHeight="1">
      <c r="C169" s="460" t="s">
        <v>2325</v>
      </c>
      <c r="D169" s="559">
        <v>46900</v>
      </c>
      <c r="E169" s="348"/>
      <c r="F169" s="348"/>
    </row>
    <row r="170" spans="3:6" ht="10.5" customHeight="1">
      <c r="C170" s="460" t="s">
        <v>926</v>
      </c>
      <c r="D170" s="559">
        <v>40400</v>
      </c>
      <c r="E170" s="348"/>
      <c r="F170" s="348"/>
    </row>
    <row r="171" spans="3:6" ht="10.5" customHeight="1">
      <c r="C171" s="460" t="s">
        <v>928</v>
      </c>
      <c r="D171" s="559">
        <v>32900</v>
      </c>
      <c r="E171" s="348"/>
      <c r="F171" s="348"/>
    </row>
    <row r="172" spans="3:6" ht="10.5" customHeight="1">
      <c r="C172" s="460" t="s">
        <v>1781</v>
      </c>
      <c r="D172" s="559">
        <v>47100</v>
      </c>
      <c r="E172" s="348"/>
      <c r="F172" s="348"/>
    </row>
    <row r="173" spans="3:6" ht="10.5" customHeight="1">
      <c r="C173" s="460" t="s">
        <v>2043</v>
      </c>
      <c r="D173" s="559">
        <v>48800</v>
      </c>
      <c r="E173" s="348"/>
      <c r="F173" s="348"/>
    </row>
    <row r="174" spans="3:6" ht="10.5" customHeight="1">
      <c r="C174" s="459" t="s">
        <v>2045</v>
      </c>
      <c r="D174" s="559">
        <v>47500</v>
      </c>
      <c r="E174" s="348"/>
      <c r="F174" s="348"/>
    </row>
    <row r="175" spans="3:6" ht="10.5" customHeight="1">
      <c r="C175" s="459" t="s">
        <v>2047</v>
      </c>
      <c r="D175" s="559">
        <v>51400</v>
      </c>
      <c r="E175" s="348"/>
      <c r="F175" s="348"/>
    </row>
    <row r="176" spans="3:6" ht="10.5" customHeight="1">
      <c r="C176" s="459" t="s">
        <v>2049</v>
      </c>
      <c r="D176" s="559">
        <v>46100</v>
      </c>
      <c r="E176" s="348"/>
      <c r="F176" s="348"/>
    </row>
    <row r="177" spans="3:6" ht="10.5" customHeight="1">
      <c r="C177" s="459" t="s">
        <v>2051</v>
      </c>
      <c r="D177" s="559">
        <v>49000</v>
      </c>
      <c r="E177" s="348"/>
      <c r="F177" s="348"/>
    </row>
    <row r="178" spans="3:6" ht="10.5" customHeight="1">
      <c r="C178" s="459" t="s">
        <v>2053</v>
      </c>
      <c r="D178" s="559">
        <v>43600</v>
      </c>
      <c r="E178" s="348"/>
      <c r="F178" s="348"/>
    </row>
    <row r="179" spans="3:6" ht="10.5" customHeight="1">
      <c r="C179" s="460" t="s">
        <v>2056</v>
      </c>
      <c r="D179" s="559">
        <v>52800</v>
      </c>
      <c r="E179" s="348"/>
      <c r="F179" s="348"/>
    </row>
    <row r="180" spans="3:6" ht="10.5" customHeight="1">
      <c r="C180" s="459" t="s">
        <v>2143</v>
      </c>
      <c r="D180" s="559">
        <v>44600</v>
      </c>
      <c r="E180" s="348"/>
      <c r="F180" s="348"/>
    </row>
    <row r="181" spans="3:6" ht="10.5" customHeight="1">
      <c r="C181" s="459" t="s">
        <v>1816</v>
      </c>
      <c r="D181" s="559">
        <v>45200</v>
      </c>
      <c r="E181" s="348"/>
      <c r="F181" s="348"/>
    </row>
    <row r="182" spans="3:6" ht="10.5" customHeight="1">
      <c r="C182" s="460" t="s">
        <v>106</v>
      </c>
      <c r="D182" s="559">
        <v>48900</v>
      </c>
      <c r="E182" s="348"/>
      <c r="F182" s="348"/>
    </row>
    <row r="183" spans="3:6" ht="10.5" customHeight="1">
      <c r="C183" s="459" t="s">
        <v>1829</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2556</v>
      </c>
      <c r="D190" s="559">
        <v>40900</v>
      </c>
      <c r="E190" s="348"/>
      <c r="F190" s="348"/>
    </row>
    <row r="191" spans="3:6" ht="10.5" customHeight="1">
      <c r="C191" s="459" t="s">
        <v>2558</v>
      </c>
      <c r="D191" s="559">
        <v>38900</v>
      </c>
      <c r="E191" s="348"/>
      <c r="F191" s="348"/>
    </row>
    <row r="192" spans="3:6" ht="10.5" customHeight="1">
      <c r="C192" s="459" t="s">
        <v>2560</v>
      </c>
      <c r="D192" s="559">
        <v>46700</v>
      </c>
      <c r="E192" s="348"/>
      <c r="F192" s="348"/>
    </row>
  </sheetData>
  <sheetProtection password="B388"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1040</v>
      </c>
    </row>
    <row r="2" spans="1:1" ht="16.5">
      <c r="A2" s="1096" t="str">
        <f>'Part I-Project Information'!F23</f>
        <v>Macon Gardens</v>
      </c>
    </row>
    <row r="3" spans="1:1" ht="16.5">
      <c r="A3" s="1096" t="str">
        <f>CONCATENATE('Part I-Project Information'!F27,", ", 'Part I-Project Information'!J28," County")</f>
        <v>Macon, Bibb County</v>
      </c>
    </row>
    <row r="5" spans="1:1">
      <c r="A5" s="1619" t="str">
        <f>'Project Narrative'!A5</f>
        <v xml:space="preserve">Developer / Sponsor:  The Benoit Group, LLC
Units:  132 
Location:  3601 Mercer University Drive, Macon Georgia
PROJECT NARRATIVE
The proposed affordable multi-family project Macon Gardens is approximately 2 ½ mile from Interstate 475 off Thomaston Road.  Macon Gardens is an existing 132-unit multi-family development built in 1978 and currently owned by Macon Properties, LTD.. 
The Benoit Group Development Company is currently working closely with Macon/Bibb County to renovate Macon Gardens, a 132-unit low income (as defined by the Department of Housing and Urban Development) elderly multi-family development.  The project has a 132 unit HAP contract with HUD for all units and will utilize tax credit equity and conventional debt to renovate the property at approximately $48K per unit.  The 132 units will consist of a unit mix of fifty-five (55) 1BR/1BA units, forty-eight (48) 2BR/1BA units, twenty-four (24) 3BR/1½ BA units, and five (5) 4BR/2BA units in twenty (20) buildings.  Macon Gardens Census Tract (0132.01) is located in a moderate income, high minority concentration, with 20% poverty per the FFIEC data (see attached).  The proposed Borrower Entity will be TBG Macon Gardens, LP with The Benoit Group having 100% ownership in the TBG Macon Gardens GP, LLC entity, whereby The Benoit Group will be the Managing Member.  
HUD Priority Point Approval has been received for the Macon Gardens Redevelopment.   HUD has given this designation based upon the physical condition history of Macon Gardens and the demonstrated need to preserve affordable housing in Macon, coupled with the potential loss of subsidy for a vulnerable resident population.  HUD concluded that Macon Gardens meets the established criteria for consideration due to current risk factors.  Per HUD, Macon Gardens represents a critically important affordable housing asset that warrants all preservation efforts. 
Retail and commercial establishments are the predominate land use in the site’s immediate area,  which includes  grocery stores, restaurants, automotive related businesses, banks, offices, and consumer goods retailers.  In close proximity you will also find transportation options and extensive services and a mall located within less than 1 mile from the site.  
The Project will offer a variety of services to residents on-site, which will be part of The Benoit Group's "Social Expression Program."  These services will include planned social and recreational activities and monthly classes, such as arts and crafts, computer training, and exercise.
Planned amenities include community clubhouse and leasing office, upgraded laundry facilities and exercise room. The project will also have a computer center, and a courtyard with various gazebos and sitting areas. 
                                                                                                                                                                                                                                                                                                                                                                            SECURITY, SAFETY, AND PRIVACY
Because safety and security is a concern for the residents, Macon Gardens will focus on some of the exterior amenities that include controlled access into the community and a security system with cameras.
The Benoit Group, LLC is a privately owned, full service real estate development firm specializing in delivering high-quality, amenity-rich, service-oriented housing solutions to the affordable, elderly and market-rate housing sectors throughout the United States. 
PROPOSED FINANCIAL PROJECTIONS
Total Development Cost $12.3M
Federal LIHTC Equity $7.8M
State LIHTC Equity $2.9M
Macon/Bibb Financial Assistance $250,000
Construction Cost (SF) $57.19 
Construction Cost (Per Unit) $48,558
PROPOSED UNIT AMENITIES &amp; PROJECT AMENITIES
X Range  
X Refrigerator
X Community Room
X Dishwasher 
X Monument Signage
X Disposal 
X Sod and irrigation
X Exercise Room
X Air Conditioning  
X On Site Management
X Carpeting
X Monthly Resident Service Programs
X Laundry Room 
X On Site Management
X Energy Star Appliances &amp; Lighting 
X Monthly Resident Service Programs
X Window Coverings 
X Picnic Area
X Ceiling Fans
 X Picnic Area
 X Vinyl Planck Flooring 
</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2519</v>
      </c>
      <c r="D27" s="840"/>
      <c r="E27" s="840"/>
      <c r="F27" s="839"/>
      <c r="G27" s="842" t="s">
        <v>3641</v>
      </c>
      <c r="H27" s="840"/>
      <c r="I27" s="840"/>
      <c r="J27" s="840"/>
      <c r="K27" s="840"/>
      <c r="L27" s="839"/>
      <c r="M27" s="840"/>
      <c r="N27" s="840"/>
      <c r="O27" s="1620" t="s">
        <v>2894</v>
      </c>
      <c r="P27" s="1620"/>
    </row>
    <row r="28" spans="1:16" ht="13.5">
      <c r="A28" s="839"/>
      <c r="B28" s="843"/>
      <c r="C28" s="843"/>
      <c r="D28" s="840"/>
      <c r="E28" s="840"/>
      <c r="F28" s="839"/>
      <c r="G28" s="842" t="s">
        <v>3642</v>
      </c>
      <c r="H28" s="844"/>
      <c r="I28" s="844"/>
      <c r="J28" s="844"/>
      <c r="K28" s="840"/>
      <c r="L28" s="840"/>
      <c r="M28" s="840"/>
      <c r="N28" s="840"/>
      <c r="O28" s="1620" t="str">
        <f>'Part I-Project Information'!O4</f>
        <v>2014-051</v>
      </c>
      <c r="P28" s="1620"/>
    </row>
    <row r="29" spans="1:16">
      <c r="A29" s="839"/>
      <c r="B29" s="843"/>
      <c r="C29" s="843"/>
      <c r="D29" s="843"/>
      <c r="E29" s="844"/>
      <c r="F29" s="840"/>
      <c r="G29" s="840"/>
      <c r="H29" s="844"/>
      <c r="I29" s="844"/>
      <c r="J29" s="844"/>
      <c r="K29" s="841"/>
      <c r="L29" s="840"/>
      <c r="M29" s="844"/>
      <c r="N29" s="840"/>
      <c r="O29" s="840"/>
      <c r="P29" s="840"/>
    </row>
    <row r="30" spans="1:16">
      <c r="A30" s="843" t="s">
        <v>658</v>
      </c>
      <c r="B30" s="843" t="s">
        <v>2532</v>
      </c>
      <c r="C30" s="840"/>
      <c r="D30" s="845"/>
      <c r="E30" s="846"/>
      <c r="F30" s="847" t="s">
        <v>1837</v>
      </c>
      <c r="G30" s="840"/>
      <c r="H30" s="840"/>
      <c r="I30" s="840"/>
      <c r="J30" s="1621">
        <f>'Part IV-Uses of Funds'!J197</f>
        <v>0</v>
      </c>
      <c r="K30" s="1621"/>
      <c r="L30" s="840"/>
      <c r="M30" s="844"/>
      <c r="N30" s="840"/>
      <c r="O30" s="840"/>
      <c r="P30" s="840"/>
    </row>
    <row r="31" spans="1:16">
      <c r="A31" s="585"/>
      <c r="B31" s="585"/>
      <c r="C31" s="582"/>
      <c r="E31" s="848"/>
      <c r="F31" s="840" t="s">
        <v>1370</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791</v>
      </c>
      <c r="B33" s="843" t="s">
        <v>2179</v>
      </c>
      <c r="C33" s="840"/>
      <c r="D33" s="840"/>
      <c r="E33" s="840"/>
      <c r="F33" s="1627" t="str">
        <f>'Part I-Project Information'!F9</f>
        <v>Competitive Round</v>
      </c>
      <c r="G33" s="1627"/>
      <c r="H33" s="1627"/>
      <c r="I33" s="852"/>
      <c r="J33" s="843" t="s">
        <v>3643</v>
      </c>
      <c r="K33" s="843"/>
      <c r="L33" s="844"/>
      <c r="M33" s="840"/>
      <c r="N33" s="840"/>
      <c r="O33" s="1628" t="str">
        <f>'Part I-Project Information'!O9</f>
        <v>PA14-33</v>
      </c>
      <c r="P33" s="1628"/>
    </row>
    <row r="34" spans="1:16">
      <c r="A34" s="839"/>
      <c r="B34" s="840"/>
      <c r="C34" s="840"/>
      <c r="D34" s="840"/>
      <c r="E34" s="840"/>
      <c r="F34" s="840"/>
      <c r="G34" s="840"/>
      <c r="H34" s="844"/>
      <c r="I34" s="840"/>
      <c r="J34" s="847" t="s">
        <v>3000</v>
      </c>
      <c r="K34" s="841"/>
      <c r="L34" s="840"/>
      <c r="M34" s="844"/>
      <c r="N34" s="840"/>
      <c r="O34" s="1628" t="str">
        <f>'Part I-Project Information'!O10</f>
        <v>No</v>
      </c>
      <c r="P34" s="1628"/>
    </row>
    <row r="35" spans="1:16">
      <c r="A35" s="840"/>
      <c r="B35" s="840"/>
      <c r="C35" s="840"/>
      <c r="D35" s="840"/>
      <c r="E35" s="840"/>
      <c r="F35" s="840"/>
      <c r="G35" s="840"/>
      <c r="H35" s="840"/>
      <c r="I35" s="845"/>
      <c r="J35" s="845"/>
      <c r="K35" s="845"/>
      <c r="L35" s="845"/>
      <c r="M35" s="845"/>
      <c r="N35" s="845"/>
      <c r="O35" s="845"/>
      <c r="P35" s="845"/>
    </row>
    <row r="36" spans="1:16">
      <c r="A36" s="841" t="s">
        <v>793</v>
      </c>
      <c r="B36" s="843" t="s">
        <v>1572</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2451</v>
      </c>
      <c r="C38" s="840"/>
      <c r="D38" s="840"/>
      <c r="E38" s="840"/>
      <c r="F38" s="1623" t="str">
        <f>'Part I-Project Information'!F14</f>
        <v>Torian R. Priestly</v>
      </c>
      <c r="G38" s="1623"/>
      <c r="H38" s="1623"/>
      <c r="I38" s="1623"/>
      <c r="J38" s="1623"/>
      <c r="K38" s="1623"/>
      <c r="L38" s="1623"/>
      <c r="M38" s="847" t="s">
        <v>2116</v>
      </c>
      <c r="N38" s="1623" t="str">
        <f>'Part I-Project Information'!N14</f>
        <v>Executive Vice President</v>
      </c>
      <c r="O38" s="1623"/>
      <c r="P38" s="1623"/>
    </row>
    <row r="39" spans="1:16">
      <c r="A39" s="840"/>
      <c r="B39" s="847" t="s">
        <v>2117</v>
      </c>
      <c r="C39" s="840"/>
      <c r="D39" s="840"/>
      <c r="E39" s="840"/>
      <c r="F39" s="1623" t="str">
        <f>'Part I-Project Information'!F15</f>
        <v>5605 Glenridge Drive, Suite 100</v>
      </c>
      <c r="G39" s="1623"/>
      <c r="H39" s="1623"/>
      <c r="I39" s="1623"/>
      <c r="J39" s="1623"/>
      <c r="K39" s="1623"/>
      <c r="L39" s="1623"/>
      <c r="M39" s="847" t="s">
        <v>1843</v>
      </c>
      <c r="N39" s="840"/>
      <c r="O39" s="1625">
        <f>'Part I-Project Information'!O15</f>
        <v>6785145904</v>
      </c>
      <c r="P39" s="1625"/>
    </row>
    <row r="40" spans="1:16">
      <c r="A40" s="840"/>
      <c r="B40" s="847" t="s">
        <v>660</v>
      </c>
      <c r="C40" s="840"/>
      <c r="D40" s="840"/>
      <c r="E40" s="840"/>
      <c r="F40" s="1623" t="str">
        <f>'Part I-Project Information'!F16</f>
        <v>Atlanta</v>
      </c>
      <c r="G40" s="1623"/>
      <c r="H40" s="1623"/>
      <c r="I40" s="840"/>
      <c r="J40" s="840"/>
      <c r="K40" s="840"/>
      <c r="L40" s="840"/>
      <c r="M40" s="847" t="s">
        <v>1927</v>
      </c>
      <c r="N40" s="840"/>
      <c r="O40" s="1625">
        <f>'Part I-Project Information'!O16</f>
        <v>6785145919</v>
      </c>
      <c r="P40" s="1625"/>
    </row>
    <row r="41" spans="1:16">
      <c r="A41" s="840"/>
      <c r="B41" s="847" t="s">
        <v>1924</v>
      </c>
      <c r="C41" s="840"/>
      <c r="D41" s="840"/>
      <c r="E41" s="840"/>
      <c r="F41" s="867" t="str">
        <f>'Part I-Project Information'!F17</f>
        <v>GA</v>
      </c>
      <c r="G41" s="840"/>
      <c r="H41" s="840"/>
      <c r="I41" s="844" t="s">
        <v>2376</v>
      </c>
      <c r="J41" s="1626">
        <f>'Part I-Project Information'!J17</f>
        <v>303421372</v>
      </c>
      <c r="K41" s="1626"/>
      <c r="L41" s="840"/>
      <c r="M41" s="847" t="s">
        <v>2115</v>
      </c>
      <c r="N41" s="840"/>
      <c r="O41" s="1625">
        <f>'Part I-Project Information'!O17</f>
        <v>4042136524</v>
      </c>
      <c r="P41" s="1625"/>
    </row>
    <row r="42" spans="1:16">
      <c r="A42" s="840"/>
      <c r="B42" s="847" t="s">
        <v>1842</v>
      </c>
      <c r="C42" s="840"/>
      <c r="D42" s="840"/>
      <c r="E42" s="840"/>
      <c r="F42" s="1625">
        <f>'Part I-Project Information'!F18</f>
        <v>6785145900</v>
      </c>
      <c r="G42" s="1625"/>
      <c r="H42" s="1625"/>
      <c r="I42" s="844" t="s">
        <v>1841</v>
      </c>
      <c r="J42" s="844">
        <f>'Part I-Project Information'!J18</f>
        <v>5904</v>
      </c>
      <c r="K42" s="844" t="s">
        <v>2120</v>
      </c>
      <c r="L42" s="1623" t="str">
        <f>'Part I-Project Information'!L18</f>
        <v>tpriestly@thebenoitgroup.com</v>
      </c>
      <c r="M42" s="1623"/>
      <c r="N42" s="1623"/>
      <c r="O42" s="1623"/>
      <c r="P42" s="1623"/>
    </row>
    <row r="43" spans="1:16" ht="13.5">
      <c r="A43" s="843"/>
      <c r="B43" s="842" t="s">
        <v>700</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1917</v>
      </c>
      <c r="B45" s="843" t="s">
        <v>1573</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659</v>
      </c>
      <c r="C47" s="840"/>
      <c r="D47" s="843"/>
      <c r="E47" s="840"/>
      <c r="F47" s="1623" t="str">
        <f>'Part I-Project Information'!F23</f>
        <v>Macon Gardens</v>
      </c>
      <c r="G47" s="1623"/>
      <c r="H47" s="1623"/>
      <c r="I47" s="1623"/>
      <c r="J47" s="1623"/>
      <c r="K47" s="1623"/>
      <c r="L47" s="1623"/>
      <c r="M47" s="847" t="s">
        <v>2333</v>
      </c>
      <c r="N47" s="840"/>
      <c r="O47" s="1623" t="str">
        <f>'Part I-Project Information'!O23</f>
        <v>No</v>
      </c>
      <c r="P47" s="1623"/>
    </row>
    <row r="48" spans="1:16">
      <c r="A48" s="851"/>
      <c r="B48" s="840" t="s">
        <v>2932</v>
      </c>
      <c r="C48" s="840"/>
      <c r="D48" s="849"/>
      <c r="E48" s="840"/>
      <c r="F48" s="1623" t="str">
        <f>'Part I-Project Information'!F24</f>
        <v>3601 Mercer University Drive</v>
      </c>
      <c r="G48" s="1623"/>
      <c r="H48" s="1623"/>
      <c r="I48" s="1623"/>
      <c r="J48" s="1623"/>
      <c r="K48" s="1623"/>
      <c r="L48" s="1623"/>
      <c r="M48" s="847" t="s">
        <v>2189</v>
      </c>
      <c r="N48" s="840"/>
      <c r="O48" s="1623" t="str">
        <f>'Part I-Project Information'!O24</f>
        <v>No</v>
      </c>
      <c r="P48" s="1623"/>
    </row>
    <row r="49" spans="1:16">
      <c r="A49" s="851"/>
      <c r="B49" s="840" t="s">
        <v>3644</v>
      </c>
      <c r="C49" s="840"/>
      <c r="D49" s="849"/>
      <c r="E49" s="840"/>
      <c r="F49" s="1623" t="str">
        <f>'Part I-Project Information'!F25</f>
        <v>3601 Mercer University Drive</v>
      </c>
      <c r="G49" s="1623"/>
      <c r="H49" s="1623"/>
      <c r="I49" s="1623"/>
      <c r="J49" s="1623"/>
      <c r="K49" s="1623"/>
      <c r="L49" s="1623"/>
      <c r="M49" s="847" t="s">
        <v>3006</v>
      </c>
      <c r="N49" s="840"/>
      <c r="O49" s="1624">
        <f>'Part I-Project Information'!O25</f>
        <v>0</v>
      </c>
      <c r="P49" s="1624"/>
    </row>
    <row r="50" spans="1:16">
      <c r="A50" s="851"/>
      <c r="B50" s="840" t="s">
        <v>3234</v>
      </c>
      <c r="C50" s="840"/>
      <c r="D50" s="849"/>
      <c r="E50" s="840"/>
      <c r="F50" s="1623" t="str">
        <f>'Part I-Project Information'!F26</f>
        <v>32.826039, -83.674503</v>
      </c>
      <c r="G50" s="1623"/>
      <c r="H50" s="1623"/>
      <c r="I50" s="1623"/>
      <c r="J50" s="1623"/>
      <c r="K50" s="1623"/>
      <c r="L50" s="1623"/>
      <c r="M50" s="847" t="s">
        <v>2432</v>
      </c>
      <c r="N50" s="840"/>
      <c r="O50" s="1634">
        <f>'Part I-Project Information'!O26</f>
        <v>32.93</v>
      </c>
      <c r="P50" s="1634"/>
    </row>
    <row r="51" spans="1:16" ht="16.5">
      <c r="A51" s="839"/>
      <c r="B51" s="840" t="s">
        <v>660</v>
      </c>
      <c r="C51" s="840"/>
      <c r="D51" s="840"/>
      <c r="E51" s="840"/>
      <c r="F51" s="1623" t="str">
        <f>'Part I-Project Information'!F27</f>
        <v>Macon</v>
      </c>
      <c r="G51" s="1623"/>
      <c r="H51" s="1623"/>
      <c r="I51" s="852" t="s">
        <v>3645</v>
      </c>
      <c r="J51" s="1626">
        <f>'Part I-Project Information'!J27</f>
        <v>312044900</v>
      </c>
      <c r="K51" s="1626"/>
      <c r="L51" s="843" t="str">
        <f>IF(AND(NOT(F47=""),NOT(F51="Select from list"),J51=""),"Enter Zip!","")</f>
        <v/>
      </c>
      <c r="M51" s="853" t="s">
        <v>2444</v>
      </c>
      <c r="N51" s="840"/>
      <c r="O51" s="1623" t="str">
        <f>'Part I-Project Information'!O27</f>
        <v>132.01</v>
      </c>
      <c r="P51" s="1623"/>
    </row>
    <row r="52" spans="1:16">
      <c r="A52" s="839"/>
      <c r="B52" s="840" t="s">
        <v>3209</v>
      </c>
      <c r="C52" s="840"/>
      <c r="D52" s="840"/>
      <c r="E52" s="840"/>
      <c r="F52" s="1623" t="str">
        <f>'Part I-Project Information'!F28</f>
        <v>Within City Limits</v>
      </c>
      <c r="G52" s="1623"/>
      <c r="H52" s="1623"/>
      <c r="I52" s="854" t="s">
        <v>661</v>
      </c>
      <c r="J52" s="1635" t="str">
        <f>'Part I-Project Information'!J28</f>
        <v>Bibb</v>
      </c>
      <c r="K52" s="1635"/>
      <c r="L52" s="840"/>
      <c r="M52" s="847" t="s">
        <v>476</v>
      </c>
      <c r="N52" s="901" t="str">
        <f>'Part I-Project Information'!N28</f>
        <v>No</v>
      </c>
      <c r="O52" s="849" t="s">
        <v>477</v>
      </c>
      <c r="P52" s="901">
        <f>'Part I-Project Information'!P28</f>
        <v>0</v>
      </c>
    </row>
    <row r="53" spans="1:16">
      <c r="A53" s="839"/>
      <c r="B53" s="843"/>
      <c r="C53" s="840" t="s">
        <v>1667</v>
      </c>
      <c r="D53" s="840"/>
      <c r="E53" s="840"/>
      <c r="F53" s="847" t="str">
        <f>'Part I-Project Information'!F29</f>
        <v>No</v>
      </c>
      <c r="G53" s="1628" t="s">
        <v>3235</v>
      </c>
      <c r="H53" s="1628"/>
      <c r="I53" s="844">
        <f>'Part I-Project Information'!I2</f>
        <v>0</v>
      </c>
      <c r="J53" s="844" t="s">
        <v>3259</v>
      </c>
      <c r="K53" s="844" t="str">
        <f>IF(OR(F53="Yes",I53="Yes"),"Rural","Urban")</f>
        <v>Urban</v>
      </c>
      <c r="L53" s="840"/>
      <c r="M53" s="847" t="s">
        <v>2795</v>
      </c>
      <c r="N53" s="839" t="str">
        <f>'Part I-Project Information'!N29</f>
        <v>MSA</v>
      </c>
      <c r="O53" s="1623" t="str">
        <f>'Part I-Project Information'!O29</f>
        <v>Macon</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3646</v>
      </c>
      <c r="D55" s="840"/>
      <c r="E55" s="840"/>
      <c r="F55" s="1632" t="s">
        <v>3152</v>
      </c>
      <c r="G55" s="1632"/>
      <c r="H55" s="1628" t="s">
        <v>787</v>
      </c>
      <c r="I55" s="1628"/>
      <c r="J55" s="1628" t="s">
        <v>788</v>
      </c>
      <c r="K55" s="1628"/>
      <c r="L55" s="856" t="s">
        <v>3633</v>
      </c>
      <c r="M55" s="840"/>
      <c r="N55" s="840"/>
      <c r="O55" s="840"/>
      <c r="P55" s="840"/>
    </row>
    <row r="56" spans="1:16">
      <c r="A56" s="839"/>
      <c r="B56" s="840" t="s">
        <v>3647</v>
      </c>
      <c r="C56" s="840"/>
      <c r="D56" s="843"/>
      <c r="E56" s="840"/>
      <c r="F56" s="1629">
        <f>'Part I-Project Information'!F32</f>
        <v>2</v>
      </c>
      <c r="G56" s="1629"/>
      <c r="H56" s="1629">
        <f>'Part I-Project Information'!H32</f>
        <v>26</v>
      </c>
      <c r="I56" s="1629"/>
      <c r="J56" s="1629">
        <f>'Part I-Project Information'!J32</f>
        <v>142</v>
      </c>
      <c r="K56" s="1629"/>
      <c r="L56" s="857" t="s">
        <v>1365</v>
      </c>
      <c r="M56" s="840"/>
      <c r="N56" s="1633" t="s">
        <v>1366</v>
      </c>
      <c r="O56" s="1633"/>
      <c r="P56" s="1633"/>
    </row>
    <row r="57" spans="1:16">
      <c r="A57" s="839"/>
      <c r="B57" s="847" t="s">
        <v>789</v>
      </c>
      <c r="C57" s="840"/>
      <c r="D57" s="840"/>
      <c r="E57" s="840"/>
      <c r="F57" s="1629">
        <f>'Part I-Project Information'!F33</f>
        <v>0</v>
      </c>
      <c r="G57" s="1629"/>
      <c r="H57" s="1629">
        <f>'Part I-Project Information'!H33</f>
        <v>0</v>
      </c>
      <c r="I57" s="1629"/>
      <c r="J57" s="1629">
        <f>'Part I-Project Information'!J33</f>
        <v>0</v>
      </c>
      <c r="K57" s="1629"/>
      <c r="L57" s="857" t="s">
        <v>3150</v>
      </c>
      <c r="M57" s="840"/>
      <c r="N57" s="1630" t="s">
        <v>3149</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679</v>
      </c>
      <c r="C59" s="840"/>
      <c r="D59" s="840"/>
      <c r="E59" s="840"/>
      <c r="F59" s="1631" t="str">
        <f>'Part I-Project Information'!F35</f>
        <v>Macon-Bibb County</v>
      </c>
      <c r="G59" s="1631"/>
      <c r="H59" s="1631"/>
      <c r="I59" s="1631"/>
      <c r="J59" s="1631"/>
      <c r="K59" s="1631"/>
      <c r="L59" s="840"/>
      <c r="M59" s="858" t="s">
        <v>2945</v>
      </c>
      <c r="N59" s="1623" t="str">
        <f>'Part I-Project Information'!N35</f>
        <v>maconbibb.us</v>
      </c>
      <c r="O59" s="1623"/>
      <c r="P59" s="1623"/>
    </row>
    <row r="60" spans="1:16">
      <c r="A60" s="839"/>
      <c r="B60" s="840" t="s">
        <v>680</v>
      </c>
      <c r="C60" s="840"/>
      <c r="D60" s="840"/>
      <c r="E60" s="840"/>
      <c r="F60" s="1623" t="str">
        <f>'Part I-Project Information'!F36</f>
        <v>Robert A.B. Reichert</v>
      </c>
      <c r="G60" s="1623"/>
      <c r="H60" s="1623"/>
      <c r="I60" s="844" t="s">
        <v>2116</v>
      </c>
      <c r="J60" s="1623" t="str">
        <f>'Part I-Project Information'!J36</f>
        <v>Mayor</v>
      </c>
      <c r="K60" s="1623"/>
      <c r="L60" s="1623"/>
      <c r="M60" s="847" t="s">
        <v>1925</v>
      </c>
      <c r="N60" s="1623" t="str">
        <f>'Part I-Project Information'!N36</f>
        <v>rreichert@maconbibb.us</v>
      </c>
      <c r="O60" s="1623"/>
      <c r="P60" s="1623"/>
    </row>
    <row r="61" spans="1:16">
      <c r="A61" s="839"/>
      <c r="B61" s="840" t="s">
        <v>2117</v>
      </c>
      <c r="C61" s="840"/>
      <c r="D61" s="840"/>
      <c r="E61" s="840"/>
      <c r="F61" s="1631" t="str">
        <f>'Part I-Project Information'!F37</f>
        <v>700 Popular Street</v>
      </c>
      <c r="G61" s="1631"/>
      <c r="H61" s="1631"/>
      <c r="I61" s="1631"/>
      <c r="J61" s="1631"/>
      <c r="K61" s="1631"/>
      <c r="L61" s="840"/>
      <c r="M61" s="847" t="s">
        <v>660</v>
      </c>
      <c r="N61" s="1623" t="str">
        <f>'Part I-Project Information'!N37</f>
        <v>Macon</v>
      </c>
      <c r="O61" s="1623"/>
      <c r="P61" s="1623"/>
    </row>
    <row r="62" spans="1:16">
      <c r="A62" s="839"/>
      <c r="B62" s="847" t="s">
        <v>2376</v>
      </c>
      <c r="C62" s="840"/>
      <c r="D62" s="840"/>
      <c r="E62" s="840"/>
      <c r="F62" s="1626">
        <f>'Part I-Project Information'!F38</f>
        <v>312020247</v>
      </c>
      <c r="G62" s="1626"/>
      <c r="H62" s="844" t="s">
        <v>2118</v>
      </c>
      <c r="I62" s="1640">
        <f>'Part I-Project Information'!I38</f>
        <v>4787517400</v>
      </c>
      <c r="J62" s="1640"/>
      <c r="K62" s="1640"/>
      <c r="L62" s="840"/>
      <c r="M62" s="847" t="s">
        <v>1927</v>
      </c>
      <c r="N62" s="1625">
        <f>'Part I-Project Information'!N38</f>
        <v>0</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1919</v>
      </c>
      <c r="B64" s="843" t="s">
        <v>1574</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2119</v>
      </c>
      <c r="C66" s="843" t="s">
        <v>3648</v>
      </c>
      <c r="D66" s="840"/>
      <c r="E66" s="840"/>
      <c r="F66" s="840"/>
      <c r="G66" s="840"/>
      <c r="H66" s="840"/>
      <c r="I66" s="840"/>
      <c r="J66" s="840"/>
      <c r="K66" s="857"/>
      <c r="L66" s="840"/>
      <c r="M66" s="861"/>
      <c r="N66" s="861"/>
      <c r="O66" s="861"/>
      <c r="P66" s="861"/>
    </row>
    <row r="67" spans="1:16">
      <c r="A67" s="845"/>
      <c r="B67" s="839"/>
      <c r="C67" s="840" t="s">
        <v>2445</v>
      </c>
      <c r="D67" s="840"/>
      <c r="E67" s="840"/>
      <c r="F67" s="868">
        <f>'Part I-Project Information'!F43</f>
        <v>0</v>
      </c>
      <c r="G67" s="845"/>
      <c r="H67" s="847" t="s">
        <v>385</v>
      </c>
      <c r="I67" s="845"/>
      <c r="J67" s="840"/>
      <c r="K67" s="845"/>
      <c r="L67" s="845"/>
      <c r="M67" s="862">
        <f>'Part VI-Revenues &amp; Expenses'!$M$81</f>
        <v>0</v>
      </c>
      <c r="N67" s="845"/>
      <c r="O67" s="845"/>
      <c r="P67" s="845"/>
    </row>
    <row r="68" spans="1:16">
      <c r="A68" s="839"/>
      <c r="B68" s="839"/>
      <c r="C68" s="863" t="s">
        <v>366</v>
      </c>
      <c r="D68" s="840"/>
      <c r="E68" s="840"/>
      <c r="F68" s="862">
        <f>'Part VI-Revenues &amp; Expenses'!$M$80</f>
        <v>0</v>
      </c>
      <c r="G68" s="840"/>
      <c r="H68" s="863" t="s">
        <v>386</v>
      </c>
      <c r="I68" s="840"/>
      <c r="J68" s="840"/>
      <c r="K68" s="840"/>
      <c r="L68" s="840"/>
      <c r="M68" s="862">
        <f>'Part VI-Revenues &amp; Expenses'!$M$82</f>
        <v>0</v>
      </c>
      <c r="N68" s="840"/>
      <c r="O68" s="840"/>
      <c r="P68" s="840"/>
    </row>
    <row r="69" spans="1:16">
      <c r="A69" s="840"/>
      <c r="B69" s="839"/>
      <c r="C69" s="847" t="s">
        <v>365</v>
      </c>
      <c r="D69" s="840"/>
      <c r="E69" s="840"/>
      <c r="F69" s="862">
        <f>'Part VI-Revenues &amp; Expenses'!$M$77</f>
        <v>132</v>
      </c>
      <c r="G69" s="864" t="s">
        <v>3002</v>
      </c>
      <c r="H69" s="840" t="s">
        <v>367</v>
      </c>
      <c r="I69" s="840"/>
      <c r="J69" s="840"/>
      <c r="K69" s="840"/>
      <c r="L69" s="840"/>
      <c r="M69" s="1097">
        <f>'Part I-Project Information'!M45</f>
        <v>28126</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2122</v>
      </c>
      <c r="C71" s="843" t="s">
        <v>2446</v>
      </c>
      <c r="D71" s="840"/>
      <c r="E71" s="840"/>
      <c r="F71" s="844" t="str">
        <f>'Part I-Project Information'!F47</f>
        <v>No</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800</v>
      </c>
      <c r="C73" s="843" t="s">
        <v>2425</v>
      </c>
      <c r="D73" s="840"/>
      <c r="E73" s="840"/>
      <c r="F73" s="840"/>
      <c r="G73" s="840"/>
      <c r="H73" s="840"/>
      <c r="I73" s="1638" t="s">
        <v>1512</v>
      </c>
      <c r="J73" s="851" t="s">
        <v>2254</v>
      </c>
      <c r="K73" s="866" t="s">
        <v>2452</v>
      </c>
      <c r="L73" s="840"/>
      <c r="M73" s="840"/>
      <c r="N73" s="840"/>
      <c r="O73" s="840"/>
      <c r="P73" s="844"/>
    </row>
    <row r="74" spans="1:16">
      <c r="A74" s="839"/>
      <c r="B74" s="867"/>
      <c r="C74" s="845" t="s">
        <v>2426</v>
      </c>
      <c r="D74" s="840"/>
      <c r="E74" s="840"/>
      <c r="F74" s="840"/>
      <c r="G74" s="840"/>
      <c r="H74" s="868">
        <f>SUM(H75:H76)</f>
        <v>132</v>
      </c>
      <c r="I74" s="1639"/>
      <c r="J74" s="839"/>
      <c r="K74" s="845" t="s">
        <v>3224</v>
      </c>
      <c r="L74" s="840"/>
      <c r="M74" s="840"/>
      <c r="N74" s="840"/>
      <c r="O74" s="840"/>
      <c r="P74" s="868">
        <f>'Part VI-Revenues &amp; Expenses'!$M$96</f>
        <v>106196</v>
      </c>
    </row>
    <row r="75" spans="1:16">
      <c r="A75" s="839"/>
      <c r="B75" s="845"/>
      <c r="C75" s="840"/>
      <c r="D75" s="869" t="s">
        <v>405</v>
      </c>
      <c r="E75" s="840"/>
      <c r="F75" s="840"/>
      <c r="G75" s="840"/>
      <c r="H75" s="868">
        <f>'Part VI-Revenues &amp; Expenses'!$M$57</f>
        <v>71</v>
      </c>
      <c r="I75" s="868">
        <f>'Part VI-Revenues &amp; Expenses'!$M$65</f>
        <v>71</v>
      </c>
      <c r="J75" s="840"/>
      <c r="K75" s="845" t="s">
        <v>3225</v>
      </c>
      <c r="L75" s="840"/>
      <c r="M75" s="840"/>
      <c r="N75" s="840"/>
      <c r="O75" s="840"/>
      <c r="P75" s="868">
        <f>'Part VI-Revenues &amp; Expenses'!$M$97</f>
        <v>0</v>
      </c>
    </row>
    <row r="76" spans="1:16">
      <c r="A76" s="839"/>
      <c r="B76" s="840"/>
      <c r="C76" s="840"/>
      <c r="D76" s="869" t="s">
        <v>1950</v>
      </c>
      <c r="E76" s="869"/>
      <c r="F76" s="840"/>
      <c r="G76" s="840"/>
      <c r="H76" s="868">
        <f>'Part VI-Revenues &amp; Expenses'!$M$56</f>
        <v>61</v>
      </c>
      <c r="I76" s="868">
        <f>'Part VI-Revenues &amp; Expenses'!$M$64</f>
        <v>60</v>
      </c>
      <c r="J76" s="840"/>
      <c r="K76" s="845" t="s">
        <v>3226</v>
      </c>
      <c r="L76" s="840"/>
      <c r="M76" s="840"/>
      <c r="N76" s="840"/>
      <c r="O76" s="840"/>
      <c r="P76" s="868">
        <f>+P74+P75</f>
        <v>106196</v>
      </c>
    </row>
    <row r="77" spans="1:16">
      <c r="A77" s="839"/>
      <c r="B77" s="840"/>
      <c r="C77" s="845" t="s">
        <v>267</v>
      </c>
      <c r="D77" s="840"/>
      <c r="E77" s="840"/>
      <c r="F77" s="840"/>
      <c r="G77" s="840"/>
      <c r="H77" s="868">
        <f>'Part VI-Revenues &amp; Expenses'!$M$59</f>
        <v>0</v>
      </c>
      <c r="I77" s="840"/>
      <c r="J77" s="839"/>
      <c r="K77" s="845" t="s">
        <v>3227</v>
      </c>
      <c r="L77" s="840"/>
      <c r="M77" s="840"/>
      <c r="N77" s="840"/>
      <c r="O77" s="840"/>
      <c r="P77" s="868">
        <f>'Part VI-Revenues &amp; Expenses'!$M$99</f>
        <v>0</v>
      </c>
    </row>
    <row r="78" spans="1:16">
      <c r="A78" s="839"/>
      <c r="B78" s="840"/>
      <c r="C78" s="845" t="s">
        <v>2571</v>
      </c>
      <c r="D78" s="840"/>
      <c r="E78" s="840"/>
      <c r="F78" s="840"/>
      <c r="G78" s="840"/>
      <c r="H78" s="868">
        <f>+H74+H77</f>
        <v>132</v>
      </c>
      <c r="I78" s="840"/>
      <c r="J78" s="839"/>
      <c r="K78" s="845" t="s">
        <v>1514</v>
      </c>
      <c r="L78" s="840"/>
      <c r="M78" s="840"/>
      <c r="N78" s="840"/>
      <c r="O78" s="840"/>
      <c r="P78" s="868">
        <f>+P76+P77</f>
        <v>106196</v>
      </c>
    </row>
    <row r="79" spans="1:16">
      <c r="A79" s="839"/>
      <c r="B79" s="840"/>
      <c r="C79" s="845" t="s">
        <v>2572</v>
      </c>
      <c r="D79" s="840"/>
      <c r="E79" s="840"/>
      <c r="F79" s="840"/>
      <c r="G79" s="840"/>
      <c r="H79" s="868">
        <f>'Part VI-Revenues &amp; Expenses'!$M$61</f>
        <v>0</v>
      </c>
      <c r="I79" s="840"/>
      <c r="J79" s="839"/>
      <c r="K79" s="840"/>
      <c r="L79" s="840"/>
      <c r="M79" s="840"/>
      <c r="N79" s="840"/>
      <c r="O79" s="840"/>
      <c r="P79" s="840"/>
    </row>
    <row r="80" spans="1:16">
      <c r="A80" s="839"/>
      <c r="B80" s="840"/>
      <c r="C80" s="845" t="s">
        <v>1918</v>
      </c>
      <c r="D80" s="840"/>
      <c r="E80" s="840"/>
      <c r="F80" s="840"/>
      <c r="G80" s="840"/>
      <c r="H80" s="868">
        <f>+H78+H79</f>
        <v>132</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1858</v>
      </c>
      <c r="C82" s="843" t="s">
        <v>2447</v>
      </c>
      <c r="D82" s="869" t="s">
        <v>2133</v>
      </c>
      <c r="E82" s="840"/>
      <c r="F82" s="840"/>
      <c r="G82" s="840"/>
      <c r="H82" s="868">
        <f>'Part I-Project Information'!H58</f>
        <v>20</v>
      </c>
      <c r="I82" s="840"/>
      <c r="J82" s="840"/>
      <c r="K82" s="845" t="s">
        <v>1193</v>
      </c>
      <c r="L82" s="840"/>
      <c r="M82" s="840"/>
      <c r="N82" s="840"/>
      <c r="O82" s="840"/>
      <c r="P82" s="868">
        <f>'Part I-Project Information'!P58</f>
        <v>0</v>
      </c>
    </row>
    <row r="83" spans="1:16">
      <c r="A83" s="839"/>
      <c r="B83" s="839"/>
      <c r="C83" s="840"/>
      <c r="D83" s="867" t="s">
        <v>2134</v>
      </c>
      <c r="E83" s="840"/>
      <c r="F83" s="840"/>
      <c r="G83" s="840"/>
      <c r="H83" s="868">
        <f>'Part I-Project Information'!H59</f>
        <v>1</v>
      </c>
      <c r="I83" s="840"/>
      <c r="J83" s="840"/>
      <c r="K83" s="845" t="s">
        <v>266</v>
      </c>
      <c r="L83" s="840"/>
      <c r="M83" s="840"/>
      <c r="N83" s="840"/>
      <c r="O83" s="840"/>
      <c r="P83" s="868">
        <f>+P78+P82</f>
        <v>106196</v>
      </c>
    </row>
    <row r="84" spans="1:16">
      <c r="A84" s="839"/>
      <c r="B84" s="839"/>
      <c r="C84" s="840"/>
      <c r="D84" s="867" t="s">
        <v>2135</v>
      </c>
      <c r="E84" s="840"/>
      <c r="F84" s="840"/>
      <c r="G84" s="840"/>
      <c r="H84" s="868">
        <f>+H82+H83</f>
        <v>21</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1859</v>
      </c>
      <c r="C86" s="843" t="s">
        <v>3393</v>
      </c>
      <c r="D86" s="840"/>
      <c r="E86" s="840"/>
      <c r="F86" s="840"/>
      <c r="G86" s="840"/>
      <c r="H86" s="868">
        <f>'Part I-Project Information'!H62</f>
        <v>183</v>
      </c>
      <c r="I86" s="840"/>
      <c r="J86" s="840"/>
      <c r="K86" s="840" t="s">
        <v>3400</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564</v>
      </c>
      <c r="B88" s="870" t="s">
        <v>1263</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2119</v>
      </c>
      <c r="C90" s="841" t="s">
        <v>3649</v>
      </c>
      <c r="D90" s="871"/>
      <c r="E90" s="871"/>
      <c r="F90" s="840"/>
      <c r="G90" s="844"/>
      <c r="H90" s="1636" t="str">
        <f>'Part I-Project Information'!H66</f>
        <v>Family</v>
      </c>
      <c r="I90" s="1636"/>
      <c r="J90" s="840"/>
      <c r="K90" s="1623" t="s">
        <v>1897</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2122</v>
      </c>
      <c r="C92" s="843" t="s">
        <v>1504</v>
      </c>
      <c r="D92" s="840"/>
      <c r="E92" s="869"/>
      <c r="F92" s="867" t="s">
        <v>851</v>
      </c>
      <c r="G92" s="840"/>
      <c r="H92" s="868">
        <f>'Part I-Project Information'!H68</f>
        <v>7</v>
      </c>
      <c r="I92" s="840"/>
      <c r="J92" s="840"/>
      <c r="K92" s="1623" t="s">
        <v>554</v>
      </c>
      <c r="L92" s="1623"/>
      <c r="M92" s="840"/>
      <c r="N92" s="840"/>
      <c r="O92" s="840"/>
      <c r="P92" s="872">
        <f>IF('Part VI-Revenues &amp; Expenses'!$M$62=0,0,H92/'Part VI-Revenues &amp; Expenses'!$M$62)</f>
        <v>5.3030303030303032E-2</v>
      </c>
    </row>
    <row r="93" spans="1:16">
      <c r="A93" s="839"/>
      <c r="B93" s="839"/>
      <c r="C93" s="840"/>
      <c r="D93" s="867" t="s">
        <v>3391</v>
      </c>
      <c r="E93" s="867"/>
      <c r="F93" s="867" t="s">
        <v>851</v>
      </c>
      <c r="G93" s="840"/>
      <c r="H93" s="868">
        <f>'Part I-Project Information'!H69</f>
        <v>3</v>
      </c>
      <c r="I93" s="840"/>
      <c r="J93" s="840"/>
      <c r="K93" s="840" t="s">
        <v>3392</v>
      </c>
      <c r="L93" s="840"/>
      <c r="M93" s="840"/>
      <c r="N93" s="840"/>
      <c r="O93" s="840"/>
      <c r="P93" s="872">
        <f>IF(H92=0,0,H93/H92)</f>
        <v>0.42857142857142855</v>
      </c>
    </row>
    <row r="94" spans="1:16">
      <c r="A94" s="839"/>
      <c r="B94" s="839"/>
      <c r="C94" s="840"/>
      <c r="D94" s="867"/>
      <c r="E94" s="867"/>
      <c r="F94" s="867"/>
      <c r="G94" s="840"/>
      <c r="H94" s="840"/>
      <c r="I94" s="844"/>
      <c r="J94" s="840"/>
      <c r="K94" s="847"/>
      <c r="L94" s="847"/>
      <c r="M94" s="844"/>
      <c r="N94" s="840"/>
      <c r="O94" s="840"/>
      <c r="P94" s="844"/>
    </row>
    <row r="95" spans="1:16">
      <c r="A95" s="839"/>
      <c r="B95" s="839" t="s">
        <v>800</v>
      </c>
      <c r="C95" s="843" t="s">
        <v>1973</v>
      </c>
      <c r="D95" s="869"/>
      <c r="E95" s="869"/>
      <c r="F95" s="867" t="s">
        <v>851</v>
      </c>
      <c r="G95" s="840"/>
      <c r="H95" s="868">
        <f>'Part I-Project Information'!H71</f>
        <v>3</v>
      </c>
      <c r="I95" s="840"/>
      <c r="J95" s="840"/>
      <c r="K95" s="1623" t="s">
        <v>554</v>
      </c>
      <c r="L95" s="1623"/>
      <c r="M95" s="840"/>
      <c r="N95" s="840"/>
      <c r="O95" s="840"/>
      <c r="P95" s="872">
        <f>IF('Part VI-Revenues &amp; Expenses'!$M$62=0,0,H95/'Part VI-Revenues &amp; Expenses'!$M$62)</f>
        <v>2.2727272727272728E-2</v>
      </c>
    </row>
    <row r="96" spans="1:16">
      <c r="A96" s="839"/>
      <c r="B96" s="839"/>
      <c r="C96" s="840"/>
      <c r="D96" s="867"/>
      <c r="E96" s="867"/>
      <c r="F96" s="867"/>
      <c r="G96" s="867"/>
      <c r="H96" s="840"/>
      <c r="I96" s="844"/>
      <c r="J96" s="844"/>
      <c r="K96" s="844"/>
      <c r="L96" s="844"/>
      <c r="M96" s="844"/>
      <c r="N96" s="840"/>
      <c r="O96" s="840"/>
      <c r="P96" s="850"/>
    </row>
    <row r="97" spans="1:16">
      <c r="A97" s="866" t="s">
        <v>824</v>
      </c>
      <c r="B97" s="871" t="s">
        <v>2534</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2119</v>
      </c>
      <c r="C99" s="841" t="s">
        <v>2533</v>
      </c>
      <c r="D99" s="867"/>
      <c r="E99" s="867"/>
      <c r="F99" s="867"/>
      <c r="G99" s="840"/>
      <c r="H99" s="1636" t="s">
        <v>925</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2122</v>
      </c>
      <c r="C101" s="843" t="s">
        <v>1641</v>
      </c>
      <c r="D101" s="840"/>
      <c r="E101" s="840"/>
      <c r="F101" s="840"/>
      <c r="G101" s="840"/>
      <c r="H101" s="840"/>
      <c r="I101" s="840"/>
      <c r="J101" s="840"/>
      <c r="K101" s="847" t="s">
        <v>924</v>
      </c>
      <c r="L101" s="840"/>
      <c r="M101" s="840"/>
      <c r="N101" s="873"/>
      <c r="O101" s="840"/>
      <c r="P101" s="844" t="str">
        <f>'Part I-Project Information'!P77</f>
        <v>No</v>
      </c>
    </row>
    <row r="102" spans="1:16">
      <c r="A102" s="839"/>
      <c r="B102" s="839"/>
      <c r="C102" s="843"/>
      <c r="D102" s="867"/>
      <c r="E102" s="867"/>
      <c r="F102" s="867"/>
      <c r="G102" s="867"/>
      <c r="H102" s="840"/>
      <c r="I102" s="844"/>
      <c r="J102" s="844"/>
      <c r="K102" s="844"/>
      <c r="L102" s="844"/>
      <c r="M102" s="844"/>
      <c r="N102" s="840"/>
      <c r="O102" s="840"/>
      <c r="P102" s="850"/>
    </row>
    <row r="103" spans="1:16">
      <c r="A103" s="866" t="s">
        <v>309</v>
      </c>
      <c r="B103" s="871" t="s">
        <v>2180</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2119</v>
      </c>
      <c r="C105" s="843" t="s">
        <v>2951</v>
      </c>
      <c r="D105" s="840"/>
      <c r="E105" s="840"/>
      <c r="F105" s="869" t="s">
        <v>2783</v>
      </c>
      <c r="G105" s="840"/>
      <c r="H105" s="844" t="str">
        <f>'Part I-Project Information'!H81</f>
        <v>No</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2122</v>
      </c>
      <c r="C107" s="843" t="s">
        <v>2952</v>
      </c>
      <c r="D107" s="840"/>
      <c r="E107" s="840"/>
      <c r="F107" s="847" t="s">
        <v>2883</v>
      </c>
      <c r="G107" s="840"/>
      <c r="H107" s="844" t="str">
        <f>'Part I-Project Information'!H83</f>
        <v>No</v>
      </c>
      <c r="I107" s="874" t="s">
        <v>2953</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446</v>
      </c>
      <c r="B109" s="871" t="s">
        <v>3237</v>
      </c>
      <c r="C109" s="840"/>
      <c r="D109" s="867"/>
      <c r="E109" s="840"/>
      <c r="F109" s="840"/>
      <c r="G109" s="840"/>
      <c r="H109" s="1623" t="str">
        <f>'Part I-Project Information'!H85</f>
        <v>Flexible</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382</v>
      </c>
      <c r="B111" s="866" t="s">
        <v>1261</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586</v>
      </c>
      <c r="D113" s="840"/>
      <c r="E113" s="1623">
        <f>'Part I-Project Information'!E89</f>
        <v>0</v>
      </c>
      <c r="F113" s="1623"/>
      <c r="G113" s="1623"/>
      <c r="H113" s="1623"/>
      <c r="I113" s="1623"/>
      <c r="J113" s="1623"/>
      <c r="K113" s="1623"/>
      <c r="L113" s="1623"/>
      <c r="M113" s="1636" t="s">
        <v>587</v>
      </c>
      <c r="N113" s="1636"/>
      <c r="O113" s="1637">
        <f>'Part I-Project Information'!O89</f>
        <v>0</v>
      </c>
      <c r="P113" s="1637"/>
    </row>
    <row r="114" spans="1:16">
      <c r="A114" s="840"/>
      <c r="B114" s="840"/>
      <c r="C114" s="847" t="s">
        <v>1084</v>
      </c>
      <c r="D114" s="849"/>
      <c r="E114" s="1623">
        <f>'Part I-Project Information'!E90</f>
        <v>0</v>
      </c>
      <c r="F114" s="1623"/>
      <c r="G114" s="1623"/>
      <c r="H114" s="1623"/>
      <c r="I114" s="1623"/>
      <c r="J114" s="1623"/>
      <c r="K114" s="1623"/>
      <c r="L114" s="1623"/>
      <c r="M114" s="1636" t="s">
        <v>863</v>
      </c>
      <c r="N114" s="1636"/>
      <c r="O114" s="1635">
        <f>'Part I-Project Information'!O90</f>
        <v>0</v>
      </c>
      <c r="P114" s="1635"/>
    </row>
    <row r="115" spans="1:16">
      <c r="A115" s="840"/>
      <c r="B115" s="840"/>
      <c r="C115" s="847" t="s">
        <v>660</v>
      </c>
      <c r="D115" s="840"/>
      <c r="E115" s="1623">
        <f>'Part I-Project Information'!E91</f>
        <v>0</v>
      </c>
      <c r="F115" s="1623"/>
      <c r="G115" s="1623"/>
      <c r="H115" s="844" t="s">
        <v>1924</v>
      </c>
      <c r="I115" s="844">
        <f>'Part I-Project Information'!I91</f>
        <v>0</v>
      </c>
      <c r="J115" s="844" t="s">
        <v>2376</v>
      </c>
      <c r="K115" s="1626">
        <f>'Part I-Project Information'!K91</f>
        <v>0</v>
      </c>
      <c r="L115" s="1626"/>
      <c r="M115" s="845"/>
      <c r="N115" s="845"/>
      <c r="O115" s="845"/>
      <c r="P115" s="845"/>
    </row>
    <row r="116" spans="1:16">
      <c r="A116" s="840"/>
      <c r="B116" s="840"/>
      <c r="C116" s="840" t="s">
        <v>2335</v>
      </c>
      <c r="D116" s="840"/>
      <c r="E116" s="1623">
        <f>'Part I-Project Information'!E92</f>
        <v>0</v>
      </c>
      <c r="F116" s="1623"/>
      <c r="G116" s="1623"/>
      <c r="H116" s="844" t="s">
        <v>2116</v>
      </c>
      <c r="I116" s="1623">
        <f>'Part I-Project Information'!I92</f>
        <v>0</v>
      </c>
      <c r="J116" s="1641"/>
      <c r="K116" s="1641"/>
      <c r="L116" s="844" t="s">
        <v>2120</v>
      </c>
      <c r="M116" s="1623">
        <f>'Part I-Project Information'!M92</f>
        <v>0</v>
      </c>
      <c r="N116" s="1641"/>
      <c r="O116" s="1641"/>
      <c r="P116" s="1641"/>
    </row>
    <row r="117" spans="1:16">
      <c r="A117" s="840"/>
      <c r="B117" s="840"/>
      <c r="C117" s="847" t="s">
        <v>2334</v>
      </c>
      <c r="D117" s="840"/>
      <c r="E117" s="1625">
        <f>'Part I-Project Information'!E93</f>
        <v>0</v>
      </c>
      <c r="F117" s="1625"/>
      <c r="G117" s="1625"/>
      <c r="H117" s="844" t="s">
        <v>1927</v>
      </c>
      <c r="I117" s="1625">
        <f>'Part I-Project Information'!I93</f>
        <v>0</v>
      </c>
      <c r="J117" s="1625"/>
      <c r="K117" s="844" t="s">
        <v>1928</v>
      </c>
      <c r="L117" s="1625">
        <f>'Part I-Project Information'!L93</f>
        <v>0</v>
      </c>
      <c r="M117" s="1625"/>
      <c r="N117" s="844" t="s">
        <v>2115</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383</v>
      </c>
      <c r="B119" s="871" t="s">
        <v>1783</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2292</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2119</v>
      </c>
      <c r="C123" s="871" t="s">
        <v>1505</v>
      </c>
      <c r="D123" s="867"/>
      <c r="E123" s="867"/>
      <c r="F123" s="844"/>
      <c r="G123" s="844"/>
      <c r="H123" s="868">
        <f>'Part I-Project Information'!H99</f>
        <v>1</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2122</v>
      </c>
      <c r="C125" s="871" t="s">
        <v>436</v>
      </c>
      <c r="D125" s="867"/>
      <c r="E125" s="867"/>
      <c r="F125" s="844"/>
      <c r="G125" s="844"/>
      <c r="H125" s="868">
        <f>'Part I-Project Information'!H101</f>
        <v>0</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800</v>
      </c>
      <c r="C127" s="871" t="s">
        <v>319</v>
      </c>
      <c r="D127" s="867"/>
      <c r="E127" s="867"/>
      <c r="F127" s="844"/>
      <c r="G127" s="844"/>
      <c r="H127" s="844"/>
      <c r="I127" s="844"/>
      <c r="J127" s="852"/>
      <c r="K127" s="844"/>
      <c r="L127" s="844"/>
      <c r="M127" s="840"/>
      <c r="N127" s="840"/>
      <c r="O127" s="840"/>
      <c r="P127" s="840"/>
    </row>
    <row r="128" spans="1:16">
      <c r="A128" s="840"/>
      <c r="B128" s="839"/>
      <c r="C128" s="867" t="s">
        <v>2274</v>
      </c>
      <c r="D128" s="867"/>
      <c r="E128" s="840"/>
      <c r="F128" s="867" t="s">
        <v>1203</v>
      </c>
      <c r="G128" s="844"/>
      <c r="H128" s="844"/>
      <c r="I128" s="844"/>
      <c r="J128" s="867" t="s">
        <v>2274</v>
      </c>
      <c r="K128" s="867"/>
      <c r="L128" s="840"/>
      <c r="M128" s="867" t="s">
        <v>1203</v>
      </c>
      <c r="N128" s="844"/>
      <c r="O128" s="844"/>
      <c r="P128" s="844"/>
    </row>
    <row r="129" spans="1:16" ht="13.5">
      <c r="A129" s="839"/>
      <c r="B129" s="839"/>
      <c r="C129" s="1627">
        <f>'Part I-Project Information'!C105</f>
        <v>1</v>
      </c>
      <c r="D129" s="1627"/>
      <c r="E129" s="1627"/>
      <c r="F129" s="1627">
        <f>'Part I-Project Information'!F105</f>
        <v>0</v>
      </c>
      <c r="G129" s="1627"/>
      <c r="H129" s="1627"/>
      <c r="I129" s="1627"/>
      <c r="J129" s="1627">
        <f>'Part I-Project Information'!J105</f>
        <v>6</v>
      </c>
      <c r="K129" s="1627"/>
      <c r="L129" s="1627"/>
      <c r="M129" s="1627">
        <f>'Part I-Project Information'!M105</f>
        <v>0</v>
      </c>
      <c r="N129" s="1627"/>
      <c r="O129" s="1627"/>
      <c r="P129" s="1627"/>
    </row>
    <row r="130" spans="1:16" ht="13.5">
      <c r="A130" s="839"/>
      <c r="B130" s="839"/>
      <c r="C130" s="1627">
        <f>'Part I-Project Information'!C106</f>
        <v>2</v>
      </c>
      <c r="D130" s="1627"/>
      <c r="E130" s="1627"/>
      <c r="F130" s="1627">
        <f>'Part I-Project Information'!F106</f>
        <v>0</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f>'Part I-Project Information'!C107</f>
        <v>3</v>
      </c>
      <c r="D131" s="1627"/>
      <c r="E131" s="1627"/>
      <c r="F131" s="1627">
        <f>'Part I-Project Information'!F107</f>
        <v>0</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f>'Part I-Project Information'!C108</f>
        <v>4</v>
      </c>
      <c r="D132" s="1627"/>
      <c r="E132" s="1627"/>
      <c r="F132" s="1627">
        <f>'Part I-Project Information'!F108</f>
        <v>0</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f>'Part I-Project Information'!C109</f>
        <v>5</v>
      </c>
      <c r="D133" s="1627"/>
      <c r="E133" s="1627"/>
      <c r="F133" s="1627">
        <f>'Part I-Project Information'!F109</f>
        <v>0</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2254</v>
      </c>
      <c r="C135" s="1642" t="s">
        <v>1977</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2274</v>
      </c>
      <c r="D137" s="867"/>
      <c r="E137" s="840"/>
      <c r="F137" s="867" t="s">
        <v>1203</v>
      </c>
      <c r="G137" s="844"/>
      <c r="H137" s="844"/>
      <c r="I137" s="844"/>
      <c r="J137" s="867" t="s">
        <v>2274</v>
      </c>
      <c r="K137" s="867"/>
      <c r="L137" s="840"/>
      <c r="M137" s="867" t="s">
        <v>1203</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384</v>
      </c>
      <c r="B144" s="870" t="s">
        <v>2583</v>
      </c>
      <c r="C144" s="840"/>
      <c r="D144" s="870"/>
      <c r="E144" s="870"/>
      <c r="F144" s="870"/>
      <c r="G144" s="840"/>
      <c r="H144" s="844" t="str">
        <f>'Part I-Project Information'!H120</f>
        <v>Yes</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2119</v>
      </c>
      <c r="C146" s="841" t="s">
        <v>1833</v>
      </c>
      <c r="D146" s="840"/>
      <c r="E146" s="840"/>
      <c r="F146" s="840"/>
      <c r="G146" s="840"/>
      <c r="H146" s="844">
        <f>'Part I-Project Information'!H122</f>
        <v>0</v>
      </c>
      <c r="I146" s="840"/>
      <c r="J146" s="840"/>
      <c r="K146" s="840"/>
      <c r="L146" s="840"/>
      <c r="M146" s="844"/>
      <c r="N146" s="840"/>
      <c r="O146" s="840"/>
      <c r="P146" s="850"/>
    </row>
    <row r="147" spans="1:16">
      <c r="A147" s="839"/>
      <c r="B147" s="839"/>
      <c r="C147" s="867" t="s">
        <v>2585</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1832</v>
      </c>
      <c r="D148" s="847"/>
      <c r="E148" s="840"/>
      <c r="F148" s="840"/>
      <c r="G148" s="840"/>
      <c r="H148" s="1623">
        <f>'Part I-Project Information'!H124</f>
        <v>0</v>
      </c>
      <c r="I148" s="1623"/>
      <c r="J148" s="840"/>
      <c r="K148" s="840"/>
      <c r="L148" s="840"/>
      <c r="M148" s="840"/>
      <c r="N148" s="840"/>
      <c r="O148" s="840"/>
      <c r="P148" s="850"/>
    </row>
    <row r="149" spans="1:16">
      <c r="A149" s="839"/>
      <c r="B149" s="839"/>
      <c r="C149" s="867" t="s">
        <v>2586</v>
      </c>
      <c r="D149" s="867"/>
      <c r="E149" s="867"/>
      <c r="F149" s="844"/>
      <c r="G149" s="840"/>
      <c r="H149" s="1098">
        <f>'Part I-Project Information'!H125</f>
        <v>0</v>
      </c>
      <c r="I149" s="840"/>
      <c r="J149" s="840"/>
      <c r="K149" s="845" t="s">
        <v>2394</v>
      </c>
      <c r="L149" s="840"/>
      <c r="M149" s="840"/>
      <c r="N149" s="840"/>
      <c r="O149" s="1623" t="str">
        <f>'Part I-Project Information'!O125</f>
        <v>GA-</v>
      </c>
      <c r="P149" s="1623"/>
    </row>
    <row r="150" spans="1:16">
      <c r="A150" s="839"/>
      <c r="B150" s="839"/>
      <c r="C150" s="867" t="s">
        <v>2584</v>
      </c>
      <c r="D150" s="840"/>
      <c r="E150" s="840"/>
      <c r="F150" s="844"/>
      <c r="G150" s="840"/>
      <c r="H150" s="852">
        <f>'Part I-Project Information'!H126</f>
        <v>0</v>
      </c>
      <c r="I150" s="840"/>
      <c r="J150" s="840"/>
      <c r="K150" s="845" t="s">
        <v>2395</v>
      </c>
      <c r="L150" s="840"/>
      <c r="M150" s="840"/>
      <c r="N150" s="840"/>
      <c r="O150" s="1623" t="str">
        <f>'Part I-Project Information'!O126</f>
        <v>GA-</v>
      </c>
      <c r="P150" s="1623"/>
    </row>
    <row r="151" spans="1:16">
      <c r="A151" s="839"/>
      <c r="B151" s="839"/>
      <c r="C151" s="867" t="s">
        <v>2306</v>
      </c>
      <c r="D151" s="867"/>
      <c r="E151" s="867"/>
      <c r="F151" s="844"/>
      <c r="G151" s="840"/>
      <c r="H151" s="1637">
        <f>'Part I-Project Information'!H127</f>
        <v>0</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2122</v>
      </c>
      <c r="C153" s="871" t="s">
        <v>2659</v>
      </c>
      <c r="D153" s="867"/>
      <c r="E153" s="867"/>
      <c r="F153" s="844"/>
      <c r="G153" s="840"/>
      <c r="H153" s="844" t="str">
        <f>'Part I-Project Information'!H129</f>
        <v>No</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800</v>
      </c>
      <c r="C155" s="871" t="s">
        <v>2935</v>
      </c>
      <c r="D155" s="867"/>
      <c r="E155" s="867"/>
      <c r="F155" s="844"/>
      <c r="G155" s="844"/>
      <c r="H155" s="840"/>
      <c r="I155" s="840"/>
      <c r="J155" s="840"/>
      <c r="K155" s="840"/>
      <c r="L155" s="840"/>
      <c r="M155" s="840"/>
      <c r="N155" s="840"/>
      <c r="O155" s="840"/>
      <c r="P155" s="850"/>
    </row>
    <row r="156" spans="1:16">
      <c r="A156" s="839"/>
      <c r="B156" s="839"/>
      <c r="C156" s="867" t="s">
        <v>3650</v>
      </c>
      <c r="D156" s="867"/>
      <c r="E156" s="867"/>
      <c r="F156" s="844"/>
      <c r="G156" s="844"/>
      <c r="H156" s="844">
        <f>'Part I-Project Information'!H132</f>
        <v>0</v>
      </c>
      <c r="I156" s="840"/>
      <c r="J156" s="840"/>
      <c r="K156" s="867" t="s">
        <v>1642</v>
      </c>
      <c r="L156" s="867"/>
      <c r="M156" s="844"/>
      <c r="N156" s="844"/>
      <c r="O156" s="844">
        <f>'Part I-Project Information'!O132</f>
        <v>0</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1848</v>
      </c>
      <c r="B158" s="870" t="s">
        <v>1262</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2119</v>
      </c>
      <c r="C160" s="859" t="s">
        <v>1951</v>
      </c>
      <c r="D160" s="840"/>
      <c r="E160" s="840"/>
      <c r="F160" s="844"/>
      <c r="G160" s="844"/>
      <c r="H160" s="844"/>
      <c r="I160" s="844"/>
      <c r="J160" s="852"/>
      <c r="K160" s="844"/>
      <c r="L160" s="844"/>
      <c r="M160" s="840"/>
      <c r="N160" s="840"/>
      <c r="O160" s="840"/>
      <c r="P160" s="850"/>
    </row>
    <row r="161" spans="1:16">
      <c r="A161" s="839"/>
      <c r="B161" s="839"/>
      <c r="C161" s="869" t="s">
        <v>1634</v>
      </c>
      <c r="D161" s="852"/>
      <c r="E161" s="852"/>
      <c r="F161" s="844"/>
      <c r="G161" s="844"/>
      <c r="H161" s="844"/>
      <c r="I161" s="844"/>
      <c r="J161" s="840"/>
      <c r="K161" s="844">
        <f>'Part I-Project Information'!K137</f>
        <v>0</v>
      </c>
      <c r="L161" s="840"/>
      <c r="M161" s="840"/>
      <c r="N161" s="840"/>
      <c r="O161" s="840"/>
      <c r="P161" s="850"/>
    </row>
    <row r="162" spans="1:16">
      <c r="A162" s="839"/>
      <c r="B162" s="839"/>
      <c r="C162" s="840" t="s">
        <v>657</v>
      </c>
      <c r="D162" s="840"/>
      <c r="E162" s="840"/>
      <c r="F162" s="840"/>
      <c r="G162" s="840"/>
      <c r="H162" s="840"/>
      <c r="I162" s="840"/>
      <c r="J162" s="840"/>
      <c r="K162" s="868">
        <f>'Part I-Project Information'!K138</f>
        <v>0</v>
      </c>
      <c r="L162" s="847" t="s">
        <v>1920</v>
      </c>
      <c r="M162" s="840"/>
      <c r="N162" s="840"/>
      <c r="O162" s="840"/>
      <c r="P162" s="878">
        <f>IF('Part VI-Revenues &amp; Expenses'!$M$60=0,0,K162/'Part VI-Revenues &amp; Expenses'!$M$60)</f>
        <v>0</v>
      </c>
    </row>
    <row r="163" spans="1:16">
      <c r="A163" s="839"/>
      <c r="B163" s="839"/>
      <c r="C163" s="840" t="s">
        <v>2307</v>
      </c>
      <c r="D163" s="840"/>
      <c r="E163" s="840"/>
      <c r="F163" s="840"/>
      <c r="G163" s="840"/>
      <c r="H163" s="840"/>
      <c r="I163" s="840"/>
      <c r="J163" s="840"/>
      <c r="K163" s="868">
        <f>'Part I-Project Information'!K139</f>
        <v>0</v>
      </c>
      <c r="L163" s="847" t="s">
        <v>1920</v>
      </c>
      <c r="M163" s="840"/>
      <c r="N163" s="840"/>
      <c r="O163" s="840"/>
      <c r="P163" s="878">
        <f>IF('Part VI-Revenues &amp; Expenses'!$M$60=0,0,K163/'Part VI-Revenues &amp; Expenses'!$M$60)</f>
        <v>0</v>
      </c>
    </row>
    <row r="164" spans="1:16">
      <c r="A164" s="839"/>
      <c r="B164" s="839"/>
      <c r="C164" s="840" t="s">
        <v>1921</v>
      </c>
      <c r="D164" s="840"/>
      <c r="E164" s="1623">
        <f>'Part I-Project Information'!E140</f>
        <v>0</v>
      </c>
      <c r="F164" s="1623"/>
      <c r="G164" s="1623"/>
      <c r="H164" s="1623"/>
      <c r="I164" s="1623"/>
      <c r="J164" s="1623"/>
      <c r="K164" s="1623"/>
      <c r="L164" s="847" t="s">
        <v>1922</v>
      </c>
      <c r="M164" s="1623">
        <f>'Part I-Project Information'!M140</f>
        <v>0</v>
      </c>
      <c r="N164" s="1623"/>
      <c r="O164" s="1623"/>
      <c r="P164" s="1623"/>
    </row>
    <row r="165" spans="1:16">
      <c r="A165" s="839"/>
      <c r="B165" s="839"/>
      <c r="C165" s="847" t="s">
        <v>1923</v>
      </c>
      <c r="D165" s="849"/>
      <c r="E165" s="1623">
        <f>'Part I-Project Information'!E141</f>
        <v>0</v>
      </c>
      <c r="F165" s="1623"/>
      <c r="G165" s="1623"/>
      <c r="H165" s="1623"/>
      <c r="I165" s="1623"/>
      <c r="J165" s="1623"/>
      <c r="K165" s="1623"/>
      <c r="L165" s="847" t="s">
        <v>1925</v>
      </c>
      <c r="M165" s="1623">
        <f>'Part I-Project Information'!M141</f>
        <v>0</v>
      </c>
      <c r="N165" s="1623"/>
      <c r="O165" s="1623"/>
      <c r="P165" s="1623"/>
    </row>
    <row r="166" spans="1:16">
      <c r="A166" s="839"/>
      <c r="B166" s="839"/>
      <c r="C166" s="847" t="s">
        <v>660</v>
      </c>
      <c r="D166" s="840"/>
      <c r="E166" s="1623">
        <f>'Part I-Project Information'!E142</f>
        <v>0</v>
      </c>
      <c r="F166" s="1623"/>
      <c r="G166" s="1623"/>
      <c r="H166" s="1623"/>
      <c r="I166" s="844" t="s">
        <v>2376</v>
      </c>
      <c r="J166" s="1626">
        <f>'Part I-Project Information'!J142</f>
        <v>0</v>
      </c>
      <c r="K166" s="1626"/>
      <c r="L166" s="847" t="s">
        <v>1928</v>
      </c>
      <c r="M166" s="1625">
        <f>'Part I-Project Information'!M142</f>
        <v>0</v>
      </c>
      <c r="N166" s="1625"/>
      <c r="O166" s="1625"/>
      <c r="P166" s="840"/>
    </row>
    <row r="167" spans="1:16">
      <c r="A167" s="839"/>
      <c r="B167" s="839"/>
      <c r="C167" s="847" t="s">
        <v>1926</v>
      </c>
      <c r="D167" s="840"/>
      <c r="E167" s="1625">
        <f>'Part I-Project Information'!E143</f>
        <v>0</v>
      </c>
      <c r="F167" s="1625"/>
      <c r="G167" s="1625"/>
      <c r="H167" s="844" t="s">
        <v>1927</v>
      </c>
      <c r="I167" s="1625">
        <f>'Part I-Project Information'!I143</f>
        <v>0</v>
      </c>
      <c r="J167" s="1625"/>
      <c r="K167" s="1625"/>
      <c r="L167" s="847" t="s">
        <v>2115</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2122</v>
      </c>
      <c r="C169" s="871" t="s">
        <v>2943</v>
      </c>
      <c r="D169" s="871"/>
      <c r="E169" s="871"/>
      <c r="F169" s="871"/>
      <c r="G169" s="871"/>
      <c r="H169" s="840"/>
      <c r="I169" s="844" t="str">
        <f>'Part I-Project Information'!I145</f>
        <v>No</v>
      </c>
      <c r="J169" s="1632" t="s">
        <v>813</v>
      </c>
      <c r="K169" s="1632"/>
      <c r="L169" s="1098">
        <f>'Part I-Project Information'!L145</f>
        <v>0</v>
      </c>
      <c r="M169" s="1628" t="s">
        <v>2476</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2944</v>
      </c>
      <c r="D171" s="871"/>
      <c r="E171" s="871"/>
      <c r="F171" s="871"/>
      <c r="G171" s="871"/>
      <c r="H171" s="840"/>
      <c r="I171" s="844" t="str">
        <f>'Part I-Project Information'!I147</f>
        <v>No</v>
      </c>
      <c r="J171" s="1632" t="s">
        <v>813</v>
      </c>
      <c r="K171" s="1632"/>
      <c r="L171" s="1098">
        <f>'Part I-Project Information'!L147</f>
        <v>0</v>
      </c>
      <c r="M171" s="1628" t="s">
        <v>2476</v>
      </c>
      <c r="N171" s="1628"/>
      <c r="O171" s="1628"/>
      <c r="P171" s="868">
        <f>'Part I-Project Information'!P147</f>
        <v>0</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800</v>
      </c>
      <c r="C173" s="871" t="s">
        <v>1881</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2254</v>
      </c>
      <c r="C175" s="1643" t="s">
        <v>2114</v>
      </c>
      <c r="D175" s="1643"/>
      <c r="E175" s="1643"/>
      <c r="F175" s="1643"/>
      <c r="G175" s="871"/>
      <c r="H175" s="840"/>
      <c r="I175" s="844" t="str">
        <f>'Part I-Project Information'!I151</f>
        <v>Yes</v>
      </c>
      <c r="J175" s="880" t="s">
        <v>3136</v>
      </c>
      <c r="K175" s="840"/>
      <c r="L175" s="1636" t="s">
        <v>1575</v>
      </c>
      <c r="M175" s="1636"/>
      <c r="N175" s="871"/>
      <c r="O175" s="871"/>
      <c r="P175" s="868">
        <f>'Part I-Project Information'!P151</f>
        <v>132</v>
      </c>
    </row>
    <row r="176" spans="1:16">
      <c r="A176" s="840"/>
      <c r="B176" s="839"/>
      <c r="C176" s="840"/>
      <c r="D176" s="840"/>
      <c r="E176" s="840"/>
      <c r="F176" s="840"/>
      <c r="G176" s="840"/>
      <c r="H176" s="840"/>
      <c r="I176" s="840"/>
      <c r="J176" s="840"/>
      <c r="K176" s="840"/>
      <c r="L176" s="1623" t="s">
        <v>852</v>
      </c>
      <c r="M176" s="1623"/>
      <c r="N176" s="871"/>
      <c r="O176" s="871"/>
      <c r="P176" s="868">
        <f>'Part I-Project Information'!P152</f>
        <v>101</v>
      </c>
    </row>
    <row r="177" spans="1:16">
      <c r="A177" s="839"/>
      <c r="B177" s="839"/>
      <c r="C177" s="840"/>
      <c r="D177" s="840"/>
      <c r="E177" s="840"/>
      <c r="F177" s="840"/>
      <c r="G177" s="840"/>
      <c r="H177" s="840"/>
      <c r="I177" s="840"/>
      <c r="J177" s="840"/>
      <c r="K177" s="840"/>
      <c r="L177" s="1623" t="s">
        <v>1916</v>
      </c>
      <c r="M177" s="1623"/>
      <c r="N177" s="871"/>
      <c r="O177" s="871"/>
      <c r="P177" s="881">
        <f>IF(P175="","",P176/P175)</f>
        <v>0.76515151515151514</v>
      </c>
    </row>
    <row r="178" spans="1:16">
      <c r="A178" s="839"/>
      <c r="B178" s="839" t="s">
        <v>1858</v>
      </c>
      <c r="C178" s="841" t="s">
        <v>1719</v>
      </c>
      <c r="D178" s="867"/>
      <c r="E178" s="867"/>
      <c r="F178" s="867"/>
      <c r="G178" s="867"/>
      <c r="H178" s="844"/>
      <c r="I178" s="840"/>
      <c r="J178" s="845"/>
      <c r="K178" s="852"/>
      <c r="L178" s="840"/>
      <c r="M178" s="840"/>
      <c r="N178" s="840"/>
      <c r="O178" s="844"/>
      <c r="P178" s="850"/>
    </row>
    <row r="179" spans="1:16">
      <c r="A179" s="839"/>
      <c r="B179" s="839"/>
      <c r="C179" s="840" t="s">
        <v>2356</v>
      </c>
      <c r="D179" s="843"/>
      <c r="E179" s="840"/>
      <c r="F179" s="840"/>
      <c r="G179" s="840"/>
      <c r="H179" s="840"/>
      <c r="I179" s="844" t="str">
        <f>'Part I-Project Information'!I155</f>
        <v>No</v>
      </c>
      <c r="J179" s="840"/>
      <c r="K179" s="840"/>
      <c r="L179" s="840" t="s">
        <v>3262</v>
      </c>
      <c r="M179" s="840"/>
      <c r="N179" s="840"/>
      <c r="O179" s="840"/>
      <c r="P179" s="844" t="str">
        <f>'Part I-Project Information'!P155</f>
        <v>No</v>
      </c>
    </row>
    <row r="180" spans="1:16">
      <c r="A180" s="839"/>
      <c r="B180" s="839"/>
      <c r="C180" s="840" t="s">
        <v>2358</v>
      </c>
      <c r="D180" s="840"/>
      <c r="E180" s="840"/>
      <c r="F180" s="840"/>
      <c r="G180" s="840"/>
      <c r="H180" s="840"/>
      <c r="I180" s="844" t="str">
        <f>'Part I-Project Information'!I156</f>
        <v>Yes</v>
      </c>
      <c r="J180" s="840"/>
      <c r="K180" s="840"/>
      <c r="L180" s="840" t="s">
        <v>1720</v>
      </c>
      <c r="M180" s="840"/>
      <c r="N180" s="840"/>
      <c r="O180" s="840"/>
      <c r="P180" s="844" t="str">
        <f>'Part I-Project Information'!P156</f>
        <v>Yes</v>
      </c>
    </row>
    <row r="181" spans="1:16">
      <c r="A181" s="839"/>
      <c r="B181" s="840"/>
      <c r="C181" s="840" t="s">
        <v>2978</v>
      </c>
      <c r="D181" s="840"/>
      <c r="E181" s="840"/>
      <c r="F181" s="840"/>
      <c r="G181" s="840"/>
      <c r="H181" s="840"/>
      <c r="I181" s="844" t="str">
        <f>'Part I-Project Information'!I157</f>
        <v>No</v>
      </c>
      <c r="J181" s="840"/>
      <c r="K181" s="840"/>
      <c r="L181" s="840" t="s">
        <v>3408</v>
      </c>
      <c r="M181" s="840"/>
      <c r="N181" s="840"/>
      <c r="O181" s="840"/>
      <c r="P181" s="844" t="str">
        <f>'Part I-Project Information'!P157</f>
        <v>No</v>
      </c>
    </row>
    <row r="182" spans="1:16" ht="13.5">
      <c r="A182" s="839"/>
      <c r="B182" s="839"/>
      <c r="C182" s="840" t="s">
        <v>1369</v>
      </c>
      <c r="D182" s="882"/>
      <c r="E182" s="840"/>
      <c r="F182" s="840"/>
      <c r="G182" s="840"/>
      <c r="H182" s="840"/>
      <c r="I182" s="844" t="str">
        <f>'Part I-Project Information'!I158</f>
        <v>No</v>
      </c>
      <c r="J182" s="840"/>
      <c r="K182" s="843"/>
      <c r="L182" s="840" t="s">
        <v>2921</v>
      </c>
      <c r="M182" s="840"/>
      <c r="N182" s="1645">
        <f>'Part I-Project Information'!N158</f>
        <v>0</v>
      </c>
      <c r="O182" s="1645"/>
      <c r="P182" s="844" t="str">
        <f>'Part I-Project Information'!P158</f>
        <v>No</v>
      </c>
    </row>
    <row r="183" spans="1:16">
      <c r="A183" s="839"/>
      <c r="B183" s="843"/>
      <c r="C183" s="840" t="s">
        <v>1935</v>
      </c>
      <c r="D183" s="840"/>
      <c r="E183" s="840"/>
      <c r="F183" s="840"/>
      <c r="G183" s="840"/>
      <c r="H183" s="840"/>
      <c r="I183" s="844" t="str">
        <f>'Part I-Project Information'!I159</f>
        <v>No</v>
      </c>
      <c r="J183" s="880" t="s">
        <v>3137</v>
      </c>
      <c r="K183" s="840"/>
      <c r="L183" s="840"/>
      <c r="M183" s="840"/>
      <c r="N183" s="840"/>
      <c r="O183" s="1646">
        <f>'Part I-Project Information'!O159</f>
        <v>0</v>
      </c>
      <c r="P183" s="1646"/>
    </row>
    <row r="184" spans="1:16">
      <c r="A184" s="839"/>
      <c r="B184" s="839"/>
      <c r="C184" s="840" t="s">
        <v>3578</v>
      </c>
      <c r="D184" s="840"/>
      <c r="E184" s="840"/>
      <c r="F184" s="840"/>
      <c r="G184" s="840"/>
      <c r="H184" s="840"/>
      <c r="I184" s="844" t="str">
        <f>'Part I-Project Information'!I160</f>
        <v>No</v>
      </c>
      <c r="J184" s="880" t="s">
        <v>3137</v>
      </c>
      <c r="K184" s="840"/>
      <c r="L184" s="840"/>
      <c r="M184" s="840"/>
      <c r="N184" s="840"/>
      <c r="O184" s="1646">
        <f>'Part I-Project Information'!O160</f>
        <v>0</v>
      </c>
      <c r="P184" s="1646"/>
    </row>
    <row r="185" spans="1:16">
      <c r="A185" s="839"/>
      <c r="B185" s="839"/>
      <c r="C185" s="840" t="s">
        <v>3579</v>
      </c>
      <c r="D185" s="840"/>
      <c r="E185" s="840"/>
      <c r="F185" s="840"/>
      <c r="G185" s="840"/>
      <c r="H185" s="840"/>
      <c r="I185" s="844" t="str">
        <f>'Part I-Project Information'!I161</f>
        <v>No</v>
      </c>
      <c r="J185" s="880" t="s">
        <v>3137</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1859</v>
      </c>
      <c r="C187" s="841" t="s">
        <v>790</v>
      </c>
      <c r="D187" s="840"/>
      <c r="E187" s="840"/>
      <c r="F187" s="840"/>
      <c r="G187" s="840"/>
      <c r="H187" s="840"/>
      <c r="I187" s="840"/>
      <c r="J187" s="840"/>
      <c r="K187" s="840"/>
      <c r="L187" s="840"/>
      <c r="M187" s="840"/>
      <c r="N187" s="840"/>
      <c r="O187" s="840"/>
      <c r="P187" s="840"/>
    </row>
    <row r="188" spans="1:16">
      <c r="A188" s="839"/>
      <c r="B188" s="839"/>
      <c r="C188" s="847" t="s">
        <v>681</v>
      </c>
      <c r="D188" s="867"/>
      <c r="E188" s="867"/>
      <c r="F188" s="844"/>
      <c r="G188" s="844"/>
      <c r="H188" s="1637">
        <f>'Part I-Project Information'!H164</f>
        <v>0</v>
      </c>
      <c r="I188" s="1637"/>
      <c r="J188" s="840"/>
      <c r="K188" s="840"/>
      <c r="L188" s="840"/>
      <c r="M188" s="840"/>
      <c r="N188" s="840"/>
      <c r="O188" s="840"/>
      <c r="P188" s="850"/>
    </row>
    <row r="189" spans="1:16">
      <c r="A189" s="839"/>
      <c r="B189" s="839"/>
      <c r="C189" s="847" t="s">
        <v>292</v>
      </c>
      <c r="D189" s="867"/>
      <c r="E189" s="867"/>
      <c r="F189" s="844"/>
      <c r="G189" s="844"/>
      <c r="H189" s="1637">
        <f>'Part I-Project Information'!H165</f>
        <v>42461</v>
      </c>
      <c r="I189" s="1637"/>
      <c r="J189" s="840"/>
      <c r="K189" s="840"/>
      <c r="L189" s="840"/>
      <c r="M189" s="840"/>
      <c r="N189" s="840"/>
      <c r="O189" s="840"/>
      <c r="P189" s="850"/>
    </row>
    <row r="190" spans="1:16">
      <c r="A190" s="839"/>
      <c r="B190" s="839"/>
      <c r="C190" s="847" t="s">
        <v>2445</v>
      </c>
      <c r="D190" s="867"/>
      <c r="E190" s="867"/>
      <c r="F190" s="844"/>
      <c r="G190" s="844"/>
      <c r="H190" s="1637">
        <f>'Part I-Project Information'!H166</f>
        <v>0</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3236</v>
      </c>
      <c r="B192" s="870"/>
      <c r="C192" s="866" t="s">
        <v>609</v>
      </c>
      <c r="D192" s="845"/>
      <c r="E192" s="845"/>
      <c r="F192" s="845"/>
      <c r="G192" s="845"/>
      <c r="H192" s="845"/>
      <c r="I192" s="845"/>
      <c r="J192" s="845"/>
      <c r="K192" s="866" t="s">
        <v>2400</v>
      </c>
      <c r="L192" s="866" t="s">
        <v>82</v>
      </c>
      <c r="M192" s="845"/>
      <c r="N192" s="845"/>
      <c r="O192" s="845"/>
      <c r="P192" s="845"/>
    </row>
    <row r="193" spans="1:19" ht="13.5">
      <c r="A193" s="1644" t="str">
        <f>'Part I-Project Information'!A169</f>
        <v>Section V.  Project Description for Acquisition/Rehabilitation, the date of original construction - the project site was built circa 1977 and requires rehabiliation in order to meet the requirements of the the current Georgia building codes and regulations.</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2014-051 Macon Gardens,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658</v>
      </c>
      <c r="B198" s="841" t="s">
        <v>1988</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2119</v>
      </c>
      <c r="C200" s="841" t="s">
        <v>1984</v>
      </c>
      <c r="D200" s="840"/>
      <c r="E200" s="840"/>
      <c r="F200" s="840"/>
      <c r="G200" s="840"/>
      <c r="H200" s="1623" t="str">
        <f>'Part II-Development Team'!H5</f>
        <v>TBG Macon Gardens, LP</v>
      </c>
      <c r="I200" s="1641"/>
      <c r="J200" s="1641"/>
      <c r="K200" s="1641"/>
      <c r="L200" s="1641"/>
      <c r="M200" s="1641"/>
      <c r="N200" s="1641"/>
      <c r="O200" s="847" t="s">
        <v>2126</v>
      </c>
      <c r="P200" s="847"/>
      <c r="Q200" s="1623" t="str">
        <f>'Part II-Development Team'!Q5</f>
        <v>Eddy Benoit, Jr.</v>
      </c>
      <c r="R200" s="1641"/>
      <c r="S200" s="1641"/>
    </row>
    <row r="201" spans="1:19">
      <c r="A201" s="840"/>
      <c r="B201" s="840"/>
      <c r="C201" s="840"/>
      <c r="D201" s="883"/>
      <c r="E201" s="847" t="s">
        <v>1084</v>
      </c>
      <c r="F201" s="849"/>
      <c r="G201" s="840"/>
      <c r="H201" s="1623" t="str">
        <f>'Part II-Development Team'!H6</f>
        <v>5605 Glenridge Drive, Suite 100</v>
      </c>
      <c r="I201" s="1641"/>
      <c r="J201" s="1641"/>
      <c r="K201" s="1641"/>
      <c r="L201" s="1641"/>
      <c r="M201" s="1641"/>
      <c r="N201" s="1641"/>
      <c r="O201" s="847" t="s">
        <v>1871</v>
      </c>
      <c r="P201" s="840"/>
      <c r="Q201" s="1623" t="str">
        <f>'Part II-Development Team'!Q6</f>
        <v>Manager</v>
      </c>
      <c r="R201" s="1641"/>
      <c r="S201" s="1641"/>
    </row>
    <row r="202" spans="1:19">
      <c r="A202" s="840"/>
      <c r="B202" s="840"/>
      <c r="C202" s="840"/>
      <c r="D202" s="883"/>
      <c r="E202" s="847" t="s">
        <v>660</v>
      </c>
      <c r="F202" s="840"/>
      <c r="G202" s="840"/>
      <c r="H202" s="1623" t="str">
        <f>'Part II-Development Team'!H7</f>
        <v>Atlanta</v>
      </c>
      <c r="I202" s="1641"/>
      <c r="J202" s="1641"/>
      <c r="K202" s="844" t="s">
        <v>814</v>
      </c>
      <c r="L202" s="1623" t="str">
        <f>'Part II-Development Team'!L7</f>
        <v>TBD</v>
      </c>
      <c r="M202" s="1641"/>
      <c r="N202" s="1641"/>
      <c r="O202" s="847" t="s">
        <v>1928</v>
      </c>
      <c r="P202" s="840"/>
      <c r="Q202" s="1625">
        <f>'Part II-Development Team'!Q7</f>
        <v>6785145901</v>
      </c>
      <c r="R202" s="1625"/>
      <c r="S202" s="1625"/>
    </row>
    <row r="203" spans="1:19" ht="13.5">
      <c r="A203" s="840"/>
      <c r="B203" s="840"/>
      <c r="C203" s="840"/>
      <c r="D203" s="883"/>
      <c r="E203" s="847" t="s">
        <v>1924</v>
      </c>
      <c r="F203" s="840"/>
      <c r="G203" s="840"/>
      <c r="H203" s="844" t="str">
        <f>'Part II-Development Team'!H8</f>
        <v>GA</v>
      </c>
      <c r="I203" s="844" t="s">
        <v>3651</v>
      </c>
      <c r="J203" s="1626">
        <f>'Part II-Development Team'!J8</f>
        <v>303421365</v>
      </c>
      <c r="K203" s="1641"/>
      <c r="L203" s="884" t="s">
        <v>3004</v>
      </c>
      <c r="M203" s="1632">
        <f>'Part II-Development Team'!M8</f>
        <v>101.13</v>
      </c>
      <c r="N203" s="1632"/>
      <c r="O203" s="847" t="s">
        <v>2115</v>
      </c>
      <c r="P203" s="840"/>
      <c r="Q203" s="1625">
        <f>'Part II-Development Team'!Q8</f>
        <v>7703293234</v>
      </c>
      <c r="R203" s="1625"/>
      <c r="S203" s="1625"/>
    </row>
    <row r="204" spans="1:19">
      <c r="A204" s="840"/>
      <c r="B204" s="840"/>
      <c r="C204" s="840"/>
      <c r="D204" s="883"/>
      <c r="E204" s="847" t="s">
        <v>2121</v>
      </c>
      <c r="F204" s="840"/>
      <c r="G204" s="840"/>
      <c r="H204" s="1625">
        <f>'Part II-Development Team'!H9</f>
        <v>6785145900</v>
      </c>
      <c r="I204" s="1625"/>
      <c r="J204" s="852">
        <f>'Part II-Development Team'!J9</f>
        <v>0</v>
      </c>
      <c r="K204" s="844" t="s">
        <v>1927</v>
      </c>
      <c r="L204" s="1640">
        <f>'Part II-Development Team'!L9</f>
        <v>6785145919</v>
      </c>
      <c r="M204" s="1641"/>
      <c r="N204" s="849" t="s">
        <v>2120</v>
      </c>
      <c r="O204" s="1635" t="str">
        <f>'Part II-Development Team'!O9</f>
        <v>ebenoit@thebenoitgroup.com</v>
      </c>
      <c r="P204" s="1635"/>
      <c r="Q204" s="1635"/>
      <c r="R204" s="1635"/>
      <c r="S204" s="1635"/>
    </row>
    <row r="205" spans="1:19" ht="13.5">
      <c r="A205" s="840"/>
      <c r="B205" s="840"/>
      <c r="C205" s="840"/>
      <c r="D205" s="883"/>
      <c r="E205" s="842" t="s">
        <v>3003</v>
      </c>
      <c r="F205" s="840"/>
      <c r="G205" s="840"/>
      <c r="H205" s="879"/>
      <c r="I205" s="840"/>
      <c r="J205" s="840"/>
      <c r="K205" s="884"/>
      <c r="L205" s="840"/>
      <c r="M205" s="840"/>
      <c r="N205" s="843" t="s">
        <v>3634</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2122</v>
      </c>
      <c r="C207" s="841" t="s">
        <v>1985</v>
      </c>
      <c r="D207" s="840"/>
      <c r="E207" s="840"/>
      <c r="F207" s="841"/>
      <c r="G207" s="841"/>
      <c r="H207" s="841"/>
      <c r="I207" s="841"/>
      <c r="J207" s="841"/>
      <c r="K207" s="840"/>
      <c r="L207" s="840"/>
      <c r="M207" s="840"/>
      <c r="N207" s="884" t="s">
        <v>3652</v>
      </c>
      <c r="O207" s="840"/>
      <c r="P207" s="1099" t="s">
        <v>1366</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2123</v>
      </c>
      <c r="D209" s="870" t="s">
        <v>2124</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2255</v>
      </c>
      <c r="E211" s="840" t="s">
        <v>1986</v>
      </c>
      <c r="F211" s="840"/>
      <c r="G211" s="840"/>
      <c r="H211" s="1623" t="str">
        <f>'Part II-Development Team'!H16</f>
        <v>TBG Macon Gardens GP, LLC</v>
      </c>
      <c r="I211" s="1641"/>
      <c r="J211" s="1641"/>
      <c r="K211" s="1641"/>
      <c r="L211" s="1641"/>
      <c r="M211" s="1641"/>
      <c r="N211" s="1641"/>
      <c r="O211" s="847" t="s">
        <v>2126</v>
      </c>
      <c r="P211" s="847"/>
      <c r="Q211" s="1623" t="str">
        <f>'Part II-Development Team'!Q16</f>
        <v xml:space="preserve">Eddy Benoit, Jr. </v>
      </c>
      <c r="R211" s="1641"/>
      <c r="S211" s="1641"/>
    </row>
    <row r="212" spans="1:19">
      <c r="A212" s="840"/>
      <c r="B212" s="840"/>
      <c r="C212" s="840"/>
      <c r="D212" s="883"/>
      <c r="E212" s="847" t="s">
        <v>1084</v>
      </c>
      <c r="F212" s="849"/>
      <c r="G212" s="840"/>
      <c r="H212" s="1623" t="str">
        <f>'Part II-Development Team'!H17</f>
        <v>5605 Glenridge Drive, Suite 100</v>
      </c>
      <c r="I212" s="1641"/>
      <c r="J212" s="1641"/>
      <c r="K212" s="1641"/>
      <c r="L212" s="1641"/>
      <c r="M212" s="1641"/>
      <c r="N212" s="1641"/>
      <c r="O212" s="847" t="s">
        <v>1871</v>
      </c>
      <c r="P212" s="840"/>
      <c r="Q212" s="1623" t="str">
        <f>'Part II-Development Team'!Q17</f>
        <v>Manager</v>
      </c>
      <c r="R212" s="1641"/>
      <c r="S212" s="1641"/>
    </row>
    <row r="213" spans="1:19">
      <c r="A213" s="840"/>
      <c r="B213" s="840"/>
      <c r="C213" s="840"/>
      <c r="D213" s="883"/>
      <c r="E213" s="847" t="s">
        <v>660</v>
      </c>
      <c r="F213" s="840"/>
      <c r="G213" s="840"/>
      <c r="H213" s="1623" t="str">
        <f>'Part II-Development Team'!H18</f>
        <v>Atlanta</v>
      </c>
      <c r="I213" s="1641"/>
      <c r="J213" s="1641"/>
      <c r="K213" s="844" t="s">
        <v>2945</v>
      </c>
      <c r="L213" s="1623" t="str">
        <f>'Part II-Development Team'!L18</f>
        <v>www.thebenoitgroup.com</v>
      </c>
      <c r="M213" s="1641"/>
      <c r="N213" s="1641"/>
      <c r="O213" s="847" t="s">
        <v>1928</v>
      </c>
      <c r="P213" s="840"/>
      <c r="Q213" s="1625">
        <f>'Part II-Development Team'!Q18</f>
        <v>6785145901</v>
      </c>
      <c r="R213" s="1625"/>
      <c r="S213" s="1625"/>
    </row>
    <row r="214" spans="1:19">
      <c r="A214" s="840"/>
      <c r="B214" s="840"/>
      <c r="C214" s="840"/>
      <c r="D214" s="843"/>
      <c r="E214" s="847" t="s">
        <v>1924</v>
      </c>
      <c r="F214" s="840"/>
      <c r="G214" s="840"/>
      <c r="H214" s="844" t="str">
        <f>'Part II-Development Team'!H19</f>
        <v>GA</v>
      </c>
      <c r="I214" s="844" t="s">
        <v>3651</v>
      </c>
      <c r="J214" s="1626">
        <f>'Part II-Development Team'!J19</f>
        <v>303421365</v>
      </c>
      <c r="K214" s="1641"/>
      <c r="L214" s="840"/>
      <c r="M214" s="840"/>
      <c r="N214" s="840"/>
      <c r="O214" s="847" t="s">
        <v>2115</v>
      </c>
      <c r="P214" s="840"/>
      <c r="Q214" s="1625">
        <f>'Part II-Development Team'!Q19</f>
        <v>7703293234</v>
      </c>
      <c r="R214" s="1625"/>
      <c r="S214" s="1625"/>
    </row>
    <row r="215" spans="1:19">
      <c r="A215" s="840"/>
      <c r="B215" s="840"/>
      <c r="C215" s="840"/>
      <c r="D215" s="883"/>
      <c r="E215" s="847" t="s">
        <v>2121</v>
      </c>
      <c r="F215" s="840"/>
      <c r="G215" s="840"/>
      <c r="H215" s="1625">
        <f>'Part II-Development Team'!H20</f>
        <v>6785145900</v>
      </c>
      <c r="I215" s="1625"/>
      <c r="J215" s="852">
        <f>'Part II-Development Team'!J20</f>
        <v>0</v>
      </c>
      <c r="K215" s="844" t="s">
        <v>1927</v>
      </c>
      <c r="L215" s="1640">
        <f>'Part II-Development Team'!L20</f>
        <v>6785145919</v>
      </c>
      <c r="M215" s="1641"/>
      <c r="N215" s="849" t="s">
        <v>2120</v>
      </c>
      <c r="O215" s="1635" t="str">
        <f>'Part II-Development Team'!O20</f>
        <v>ebenoit@thebenoitgroup.com</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2256</v>
      </c>
      <c r="E217" s="840" t="s">
        <v>1987</v>
      </c>
      <c r="F217" s="840"/>
      <c r="G217" s="840"/>
      <c r="H217" s="1623">
        <f>'Part II-Development Team'!H22</f>
        <v>0</v>
      </c>
      <c r="I217" s="1641"/>
      <c r="J217" s="1641"/>
      <c r="K217" s="1641"/>
      <c r="L217" s="1641"/>
      <c r="M217" s="1641"/>
      <c r="N217" s="1641"/>
      <c r="O217" s="847" t="s">
        <v>2126</v>
      </c>
      <c r="P217" s="847"/>
      <c r="Q217" s="1623">
        <f>'Part II-Development Team'!Q22</f>
        <v>0</v>
      </c>
      <c r="R217" s="1641"/>
      <c r="S217" s="1641"/>
    </row>
    <row r="218" spans="1:19">
      <c r="A218" s="840"/>
      <c r="B218" s="840"/>
      <c r="C218" s="840"/>
      <c r="D218" s="883"/>
      <c r="E218" s="847" t="s">
        <v>1084</v>
      </c>
      <c r="F218" s="849"/>
      <c r="G218" s="840"/>
      <c r="H218" s="1623">
        <f>'Part II-Development Team'!H23</f>
        <v>0</v>
      </c>
      <c r="I218" s="1641"/>
      <c r="J218" s="1641"/>
      <c r="K218" s="1641"/>
      <c r="L218" s="1641"/>
      <c r="M218" s="1641"/>
      <c r="N218" s="1641"/>
      <c r="O218" s="847" t="s">
        <v>1871</v>
      </c>
      <c r="P218" s="840"/>
      <c r="Q218" s="1623">
        <f>'Part II-Development Team'!Q23</f>
        <v>0</v>
      </c>
      <c r="R218" s="1641"/>
      <c r="S218" s="1641"/>
    </row>
    <row r="219" spans="1:19">
      <c r="A219" s="840"/>
      <c r="B219" s="840"/>
      <c r="C219" s="840"/>
      <c r="D219" s="883"/>
      <c r="E219" s="847" t="s">
        <v>660</v>
      </c>
      <c r="F219" s="840"/>
      <c r="G219" s="840"/>
      <c r="H219" s="1623">
        <f>'Part II-Development Team'!H24</f>
        <v>0</v>
      </c>
      <c r="I219" s="1641"/>
      <c r="J219" s="1641"/>
      <c r="K219" s="844" t="s">
        <v>2945</v>
      </c>
      <c r="L219" s="1623">
        <f>'Part II-Development Team'!L24</f>
        <v>0</v>
      </c>
      <c r="M219" s="1641"/>
      <c r="N219" s="1641"/>
      <c r="O219" s="847" t="s">
        <v>1928</v>
      </c>
      <c r="P219" s="840"/>
      <c r="Q219" s="1625">
        <f>'Part II-Development Team'!Q24</f>
        <v>0</v>
      </c>
      <c r="R219" s="1625"/>
      <c r="S219" s="1625"/>
    </row>
    <row r="220" spans="1:19">
      <c r="A220" s="840"/>
      <c r="B220" s="840"/>
      <c r="C220" s="840"/>
      <c r="D220" s="840"/>
      <c r="E220" s="847" t="s">
        <v>1924</v>
      </c>
      <c r="F220" s="840"/>
      <c r="G220" s="840"/>
      <c r="H220" s="844">
        <f>'Part II-Development Team'!H25</f>
        <v>0</v>
      </c>
      <c r="I220" s="844" t="s">
        <v>3651</v>
      </c>
      <c r="J220" s="1626">
        <f>'Part II-Development Team'!J25</f>
        <v>0</v>
      </c>
      <c r="K220" s="1641"/>
      <c r="L220" s="840"/>
      <c r="M220" s="840"/>
      <c r="N220" s="840"/>
      <c r="O220" s="847" t="s">
        <v>2115</v>
      </c>
      <c r="P220" s="840"/>
      <c r="Q220" s="1625">
        <f>'Part II-Development Team'!Q25</f>
        <v>0</v>
      </c>
      <c r="R220" s="1625"/>
      <c r="S220" s="1625"/>
    </row>
    <row r="221" spans="1:19">
      <c r="A221" s="840"/>
      <c r="B221" s="840"/>
      <c r="C221" s="840"/>
      <c r="D221" s="883"/>
      <c r="E221" s="847" t="s">
        <v>2121</v>
      </c>
      <c r="F221" s="840"/>
      <c r="G221" s="840"/>
      <c r="H221" s="1625">
        <f>'Part II-Development Team'!H26</f>
        <v>0</v>
      </c>
      <c r="I221" s="1625"/>
      <c r="J221" s="852">
        <f>'Part II-Development Team'!J26</f>
        <v>0</v>
      </c>
      <c r="K221" s="844" t="s">
        <v>1927</v>
      </c>
      <c r="L221" s="1640">
        <f>'Part II-Development Team'!L26</f>
        <v>0</v>
      </c>
      <c r="M221" s="1641"/>
      <c r="N221" s="849" t="s">
        <v>2120</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1857</v>
      </c>
      <c r="E223" s="840" t="s">
        <v>1987</v>
      </c>
      <c r="F223" s="840"/>
      <c r="G223" s="840"/>
      <c r="H223" s="1623">
        <f>'Part II-Development Team'!H28</f>
        <v>0</v>
      </c>
      <c r="I223" s="1641"/>
      <c r="J223" s="1641"/>
      <c r="K223" s="1641"/>
      <c r="L223" s="1641"/>
      <c r="M223" s="1641"/>
      <c r="N223" s="1641"/>
      <c r="O223" s="847" t="s">
        <v>2126</v>
      </c>
      <c r="P223" s="847"/>
      <c r="Q223" s="1623">
        <f>'Part II-Development Team'!Q28</f>
        <v>0</v>
      </c>
      <c r="R223" s="1641"/>
      <c r="S223" s="1641"/>
    </row>
    <row r="224" spans="1:19">
      <c r="A224" s="840"/>
      <c r="B224" s="840"/>
      <c r="C224" s="840"/>
      <c r="D224" s="883"/>
      <c r="E224" s="847" t="s">
        <v>1084</v>
      </c>
      <c r="F224" s="849"/>
      <c r="G224" s="840"/>
      <c r="H224" s="1623">
        <f>'Part II-Development Team'!H29</f>
        <v>0</v>
      </c>
      <c r="I224" s="1641"/>
      <c r="J224" s="1641"/>
      <c r="K224" s="1641"/>
      <c r="L224" s="1641"/>
      <c r="M224" s="1641"/>
      <c r="N224" s="1641"/>
      <c r="O224" s="847" t="s">
        <v>1871</v>
      </c>
      <c r="P224" s="840"/>
      <c r="Q224" s="1623">
        <f>'Part II-Development Team'!Q29</f>
        <v>0</v>
      </c>
      <c r="R224" s="1641"/>
      <c r="S224" s="1641"/>
    </row>
    <row r="225" spans="1:19">
      <c r="A225" s="840"/>
      <c r="B225" s="840"/>
      <c r="C225" s="840"/>
      <c r="D225" s="883"/>
      <c r="E225" s="847" t="s">
        <v>660</v>
      </c>
      <c r="F225" s="840"/>
      <c r="G225" s="840"/>
      <c r="H225" s="1623">
        <f>'Part II-Development Team'!H30</f>
        <v>0</v>
      </c>
      <c r="I225" s="1641"/>
      <c r="J225" s="1641"/>
      <c r="K225" s="844" t="s">
        <v>2945</v>
      </c>
      <c r="L225" s="1623">
        <f>'Part II-Development Team'!L30</f>
        <v>0</v>
      </c>
      <c r="M225" s="1641"/>
      <c r="N225" s="1641"/>
      <c r="O225" s="847" t="s">
        <v>1928</v>
      </c>
      <c r="P225" s="840"/>
      <c r="Q225" s="1625">
        <f>'Part II-Development Team'!Q30</f>
        <v>0</v>
      </c>
      <c r="R225" s="1625"/>
      <c r="S225" s="1625"/>
    </row>
    <row r="226" spans="1:19">
      <c r="A226" s="840"/>
      <c r="B226" s="840"/>
      <c r="C226" s="840"/>
      <c r="D226" s="840"/>
      <c r="E226" s="847" t="s">
        <v>1924</v>
      </c>
      <c r="F226" s="840"/>
      <c r="G226" s="840"/>
      <c r="H226" s="844">
        <f>'Part II-Development Team'!H31</f>
        <v>0</v>
      </c>
      <c r="I226" s="844" t="s">
        <v>3651</v>
      </c>
      <c r="J226" s="1626">
        <f>'Part II-Development Team'!J31</f>
        <v>0</v>
      </c>
      <c r="K226" s="1641"/>
      <c r="L226" s="840"/>
      <c r="M226" s="840"/>
      <c r="N226" s="840"/>
      <c r="O226" s="847" t="s">
        <v>2115</v>
      </c>
      <c r="P226" s="840"/>
      <c r="Q226" s="1625">
        <f>'Part II-Development Team'!Q31</f>
        <v>0</v>
      </c>
      <c r="R226" s="1625"/>
      <c r="S226" s="1625"/>
    </row>
    <row r="227" spans="1:19">
      <c r="A227" s="840"/>
      <c r="B227" s="840"/>
      <c r="C227" s="840"/>
      <c r="D227" s="883"/>
      <c r="E227" s="847" t="s">
        <v>2121</v>
      </c>
      <c r="F227" s="840"/>
      <c r="G227" s="840"/>
      <c r="H227" s="1625">
        <f>'Part II-Development Team'!H32</f>
        <v>0</v>
      </c>
      <c r="I227" s="1625"/>
      <c r="J227" s="852">
        <f>'Part II-Development Team'!J32</f>
        <v>0</v>
      </c>
      <c r="K227" s="844" t="s">
        <v>1927</v>
      </c>
      <c r="L227" s="1640">
        <f>'Part II-Development Team'!L32</f>
        <v>0</v>
      </c>
      <c r="M227" s="1641"/>
      <c r="N227" s="849" t="s">
        <v>2120</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2125</v>
      </c>
      <c r="D229" s="870" t="s">
        <v>1989</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2255</v>
      </c>
      <c r="E231" s="840" t="s">
        <v>801</v>
      </c>
      <c r="F231" s="840"/>
      <c r="G231" s="840"/>
      <c r="H231" s="1623">
        <f>'Part II-Development Team'!H36</f>
        <v>0</v>
      </c>
      <c r="I231" s="1641"/>
      <c r="J231" s="1641"/>
      <c r="K231" s="1641"/>
      <c r="L231" s="1641"/>
      <c r="M231" s="1641"/>
      <c r="N231" s="1641"/>
      <c r="O231" s="847" t="s">
        <v>2126</v>
      </c>
      <c r="P231" s="847"/>
      <c r="Q231" s="1623">
        <f>'Part II-Development Team'!Q36</f>
        <v>0</v>
      </c>
      <c r="R231" s="1641"/>
      <c r="S231" s="1641"/>
    </row>
    <row r="232" spans="1:19">
      <c r="A232" s="840"/>
      <c r="B232" s="840"/>
      <c r="C232" s="840"/>
      <c r="D232" s="883"/>
      <c r="E232" s="847" t="s">
        <v>1084</v>
      </c>
      <c r="F232" s="849"/>
      <c r="G232" s="840"/>
      <c r="H232" s="1623">
        <f>'Part II-Development Team'!H37</f>
        <v>0</v>
      </c>
      <c r="I232" s="1641"/>
      <c r="J232" s="1641"/>
      <c r="K232" s="1641"/>
      <c r="L232" s="1641"/>
      <c r="M232" s="1641"/>
      <c r="N232" s="1641"/>
      <c r="O232" s="847" t="s">
        <v>1871</v>
      </c>
      <c r="P232" s="840"/>
      <c r="Q232" s="1623">
        <f>'Part II-Development Team'!Q37</f>
        <v>0</v>
      </c>
      <c r="R232" s="1641"/>
      <c r="S232" s="1641"/>
    </row>
    <row r="233" spans="1:19">
      <c r="A233" s="840"/>
      <c r="B233" s="840"/>
      <c r="C233" s="840"/>
      <c r="D233" s="883"/>
      <c r="E233" s="847" t="s">
        <v>660</v>
      </c>
      <c r="F233" s="840"/>
      <c r="G233" s="840"/>
      <c r="H233" s="1623">
        <f>'Part II-Development Team'!H38</f>
        <v>0</v>
      </c>
      <c r="I233" s="1641"/>
      <c r="J233" s="1641"/>
      <c r="K233" s="844" t="s">
        <v>2945</v>
      </c>
      <c r="L233" s="1623">
        <f>'Part II-Development Team'!L38</f>
        <v>0</v>
      </c>
      <c r="M233" s="1641"/>
      <c r="N233" s="1641"/>
      <c r="O233" s="847" t="s">
        <v>1928</v>
      </c>
      <c r="P233" s="840"/>
      <c r="Q233" s="1625">
        <f>'Part II-Development Team'!Q38</f>
        <v>0</v>
      </c>
      <c r="R233" s="1625"/>
      <c r="S233" s="1625"/>
    </row>
    <row r="234" spans="1:19">
      <c r="A234" s="840"/>
      <c r="B234" s="840"/>
      <c r="C234" s="840"/>
      <c r="D234" s="840"/>
      <c r="E234" s="847" t="s">
        <v>1924</v>
      </c>
      <c r="F234" s="840"/>
      <c r="G234" s="840"/>
      <c r="H234" s="844">
        <f>'Part II-Development Team'!H39</f>
        <v>0</v>
      </c>
      <c r="I234" s="844" t="s">
        <v>3651</v>
      </c>
      <c r="J234" s="1626">
        <f>'Part II-Development Team'!J39</f>
        <v>0</v>
      </c>
      <c r="K234" s="1641"/>
      <c r="L234" s="840"/>
      <c r="M234" s="840"/>
      <c r="N234" s="840"/>
      <c r="O234" s="847" t="s">
        <v>2115</v>
      </c>
      <c r="P234" s="840"/>
      <c r="Q234" s="1625">
        <f>'Part II-Development Team'!Q39</f>
        <v>0</v>
      </c>
      <c r="R234" s="1625"/>
      <c r="S234" s="1625"/>
    </row>
    <row r="235" spans="1:19">
      <c r="A235" s="840"/>
      <c r="B235" s="840"/>
      <c r="C235" s="840"/>
      <c r="D235" s="883"/>
      <c r="E235" s="847" t="s">
        <v>2121</v>
      </c>
      <c r="F235" s="840"/>
      <c r="G235" s="840"/>
      <c r="H235" s="1625">
        <f>'Part II-Development Team'!H40</f>
        <v>0</v>
      </c>
      <c r="I235" s="1625"/>
      <c r="J235" s="852">
        <f>'Part II-Development Team'!J40</f>
        <v>0</v>
      </c>
      <c r="K235" s="844" t="s">
        <v>1927</v>
      </c>
      <c r="L235" s="1640">
        <f>'Part II-Development Team'!L40</f>
        <v>0</v>
      </c>
      <c r="M235" s="1641"/>
      <c r="N235" s="849" t="s">
        <v>2120</v>
      </c>
      <c r="O235" s="1635">
        <f>'Part II-Development Team'!O40</f>
        <v>0</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2256</v>
      </c>
      <c r="E237" s="840" t="s">
        <v>802</v>
      </c>
      <c r="F237" s="843"/>
      <c r="G237" s="840"/>
      <c r="H237" s="1623">
        <f>'Part II-Development Team'!H42</f>
        <v>0</v>
      </c>
      <c r="I237" s="1641"/>
      <c r="J237" s="1641"/>
      <c r="K237" s="1641"/>
      <c r="L237" s="1641"/>
      <c r="M237" s="1641"/>
      <c r="N237" s="1641"/>
      <c r="O237" s="847" t="s">
        <v>2126</v>
      </c>
      <c r="P237" s="847"/>
      <c r="Q237" s="1623">
        <f>'Part II-Development Team'!Q42</f>
        <v>0</v>
      </c>
      <c r="R237" s="1641"/>
      <c r="S237" s="1641"/>
    </row>
    <row r="238" spans="1:19">
      <c r="A238" s="840"/>
      <c r="B238" s="840"/>
      <c r="C238" s="840"/>
      <c r="D238" s="883"/>
      <c r="E238" s="847" t="s">
        <v>1084</v>
      </c>
      <c r="F238" s="849"/>
      <c r="G238" s="840"/>
      <c r="H238" s="1623">
        <f>'Part II-Development Team'!H43</f>
        <v>0</v>
      </c>
      <c r="I238" s="1641"/>
      <c r="J238" s="1641"/>
      <c r="K238" s="1641"/>
      <c r="L238" s="1641"/>
      <c r="M238" s="1641"/>
      <c r="N238" s="1641"/>
      <c r="O238" s="847" t="s">
        <v>1871</v>
      </c>
      <c r="P238" s="840"/>
      <c r="Q238" s="1623">
        <f>'Part II-Development Team'!Q43</f>
        <v>0</v>
      </c>
      <c r="R238" s="1641"/>
      <c r="S238" s="1641"/>
    </row>
    <row r="239" spans="1:19">
      <c r="A239" s="840"/>
      <c r="B239" s="840"/>
      <c r="C239" s="840"/>
      <c r="D239" s="883"/>
      <c r="E239" s="847" t="s">
        <v>660</v>
      </c>
      <c r="F239" s="840"/>
      <c r="G239" s="840"/>
      <c r="H239" s="1623">
        <f>'Part II-Development Team'!H44</f>
        <v>0</v>
      </c>
      <c r="I239" s="1641"/>
      <c r="J239" s="1641"/>
      <c r="K239" s="844" t="s">
        <v>2945</v>
      </c>
      <c r="L239" s="1623">
        <f>'Part II-Development Team'!L44</f>
        <v>0</v>
      </c>
      <c r="M239" s="1641"/>
      <c r="N239" s="1641"/>
      <c r="O239" s="847" t="s">
        <v>1928</v>
      </c>
      <c r="P239" s="840"/>
      <c r="Q239" s="1625">
        <f>'Part II-Development Team'!Q44</f>
        <v>0</v>
      </c>
      <c r="R239" s="1625"/>
      <c r="S239" s="1625"/>
    </row>
    <row r="240" spans="1:19">
      <c r="A240" s="840"/>
      <c r="B240" s="840"/>
      <c r="C240" s="840"/>
      <c r="D240" s="843"/>
      <c r="E240" s="847" t="s">
        <v>1924</v>
      </c>
      <c r="F240" s="840"/>
      <c r="G240" s="840"/>
      <c r="H240" s="844">
        <f>'Part II-Development Team'!H45</f>
        <v>0</v>
      </c>
      <c r="I240" s="844" t="s">
        <v>3651</v>
      </c>
      <c r="J240" s="1626">
        <f>'Part II-Development Team'!J45</f>
        <v>0</v>
      </c>
      <c r="K240" s="1641"/>
      <c r="L240" s="840"/>
      <c r="M240" s="840"/>
      <c r="N240" s="840"/>
      <c r="O240" s="847" t="s">
        <v>2115</v>
      </c>
      <c r="P240" s="840"/>
      <c r="Q240" s="1625">
        <f>'Part II-Development Team'!Q45</f>
        <v>0</v>
      </c>
      <c r="R240" s="1625"/>
      <c r="S240" s="1625"/>
    </row>
    <row r="241" spans="1:19">
      <c r="A241" s="840"/>
      <c r="B241" s="840"/>
      <c r="C241" s="840"/>
      <c r="D241" s="883"/>
      <c r="E241" s="847" t="s">
        <v>2121</v>
      </c>
      <c r="F241" s="840"/>
      <c r="G241" s="840"/>
      <c r="H241" s="1625">
        <f>'Part II-Development Team'!H46</f>
        <v>0</v>
      </c>
      <c r="I241" s="1625"/>
      <c r="J241" s="852">
        <f>'Part II-Development Team'!J46</f>
        <v>0</v>
      </c>
      <c r="K241" s="844" t="s">
        <v>1927</v>
      </c>
      <c r="L241" s="1640">
        <f>'Part II-Development Team'!L46</f>
        <v>0</v>
      </c>
      <c r="M241" s="1641"/>
      <c r="N241" s="849" t="s">
        <v>2120</v>
      </c>
      <c r="O241" s="1635">
        <f>'Part II-Development Team'!O46</f>
        <v>0</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2708</v>
      </c>
      <c r="D243" s="870" t="s">
        <v>697</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f>'Part II-Development Team'!H50</f>
        <v>0</v>
      </c>
      <c r="I245" s="1641"/>
      <c r="J245" s="1641"/>
      <c r="K245" s="1641"/>
      <c r="L245" s="1641"/>
      <c r="M245" s="1641"/>
      <c r="N245" s="1641"/>
      <c r="O245" s="847" t="s">
        <v>2126</v>
      </c>
      <c r="P245" s="847"/>
      <c r="Q245" s="1623">
        <f>'Part II-Development Team'!Q50</f>
        <v>0</v>
      </c>
      <c r="R245" s="1641"/>
      <c r="S245" s="1641"/>
    </row>
    <row r="246" spans="1:19">
      <c r="A246" s="840"/>
      <c r="B246" s="840"/>
      <c r="C246" s="840"/>
      <c r="D246" s="883"/>
      <c r="E246" s="847" t="s">
        <v>1084</v>
      </c>
      <c r="F246" s="849"/>
      <c r="G246" s="840"/>
      <c r="H246" s="1623">
        <f>'Part II-Development Team'!H51</f>
        <v>0</v>
      </c>
      <c r="I246" s="1641"/>
      <c r="J246" s="1641"/>
      <c r="K246" s="1641"/>
      <c r="L246" s="1641"/>
      <c r="M246" s="1641"/>
      <c r="N246" s="1641"/>
      <c r="O246" s="847" t="s">
        <v>1871</v>
      </c>
      <c r="P246" s="840"/>
      <c r="Q246" s="1623">
        <f>'Part II-Development Team'!Q51</f>
        <v>0</v>
      </c>
      <c r="R246" s="1641"/>
      <c r="S246" s="1641"/>
    </row>
    <row r="247" spans="1:19">
      <c r="A247" s="840"/>
      <c r="B247" s="840"/>
      <c r="C247" s="840"/>
      <c r="D247" s="883"/>
      <c r="E247" s="847" t="s">
        <v>660</v>
      </c>
      <c r="F247" s="840"/>
      <c r="G247" s="840"/>
      <c r="H247" s="1623">
        <f>'Part II-Development Team'!H52</f>
        <v>0</v>
      </c>
      <c r="I247" s="1641"/>
      <c r="J247" s="1641"/>
      <c r="K247" s="844" t="s">
        <v>2945</v>
      </c>
      <c r="L247" s="1623">
        <f>'Part II-Development Team'!L52</f>
        <v>0</v>
      </c>
      <c r="M247" s="1641"/>
      <c r="N247" s="1641"/>
      <c r="O247" s="847" t="s">
        <v>1928</v>
      </c>
      <c r="P247" s="840"/>
      <c r="Q247" s="1625">
        <f>'Part II-Development Team'!Q52</f>
        <v>0</v>
      </c>
      <c r="R247" s="1625"/>
      <c r="S247" s="1625"/>
    </row>
    <row r="248" spans="1:19">
      <c r="A248" s="840"/>
      <c r="B248" s="840"/>
      <c r="C248" s="840"/>
      <c r="D248" s="840"/>
      <c r="E248" s="847" t="s">
        <v>1924</v>
      </c>
      <c r="F248" s="840"/>
      <c r="G248" s="840"/>
      <c r="H248" s="844">
        <f>'Part II-Development Team'!H53</f>
        <v>0</v>
      </c>
      <c r="I248" s="844" t="s">
        <v>3651</v>
      </c>
      <c r="J248" s="1626">
        <f>'Part II-Development Team'!J53</f>
        <v>0</v>
      </c>
      <c r="K248" s="1641"/>
      <c r="L248" s="840"/>
      <c r="M248" s="840"/>
      <c r="N248" s="840"/>
      <c r="O248" s="847" t="s">
        <v>2115</v>
      </c>
      <c r="P248" s="840"/>
      <c r="Q248" s="1625">
        <f>'Part II-Development Team'!Q53</f>
        <v>0</v>
      </c>
      <c r="R248" s="1625"/>
      <c r="S248" s="1625"/>
    </row>
    <row r="249" spans="1:19">
      <c r="A249" s="840"/>
      <c r="B249" s="840"/>
      <c r="C249" s="840"/>
      <c r="D249" s="883"/>
      <c r="E249" s="847" t="s">
        <v>2121</v>
      </c>
      <c r="F249" s="840"/>
      <c r="G249" s="840"/>
      <c r="H249" s="1625">
        <f>'Part II-Development Team'!H54</f>
        <v>0</v>
      </c>
      <c r="I249" s="1625"/>
      <c r="J249" s="852">
        <f>'Part II-Development Team'!J54</f>
        <v>0</v>
      </c>
      <c r="K249" s="844" t="s">
        <v>1927</v>
      </c>
      <c r="L249" s="1640">
        <f>'Part II-Development Team'!L54</f>
        <v>0</v>
      </c>
      <c r="M249" s="1641"/>
      <c r="N249" s="849" t="s">
        <v>2120</v>
      </c>
      <c r="O249" s="1635">
        <f>'Part II-Development Team'!O54</f>
        <v>0</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791</v>
      </c>
      <c r="B251" s="843" t="s">
        <v>698</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2119</v>
      </c>
      <c r="C253" s="843" t="s">
        <v>299</v>
      </c>
      <c r="D253" s="840"/>
      <c r="E253" s="840"/>
      <c r="F253" s="840"/>
      <c r="G253" s="840"/>
      <c r="H253" s="1623" t="str">
        <f>'Part II-Development Team'!H58</f>
        <v>The Benoit Group Development Company, LLC</v>
      </c>
      <c r="I253" s="1641"/>
      <c r="J253" s="1641"/>
      <c r="K253" s="1641"/>
      <c r="L253" s="1641"/>
      <c r="M253" s="1641"/>
      <c r="N253" s="1641"/>
      <c r="O253" s="847" t="s">
        <v>2126</v>
      </c>
      <c r="P253" s="847"/>
      <c r="Q253" s="1623" t="str">
        <f>'Part II-Development Team'!Q58</f>
        <v xml:space="preserve">Eddy Benoit, Jr. </v>
      </c>
      <c r="R253" s="1641"/>
      <c r="S253" s="1641"/>
    </row>
    <row r="254" spans="1:19">
      <c r="A254" s="840"/>
      <c r="B254" s="840"/>
      <c r="C254" s="840"/>
      <c r="D254" s="883"/>
      <c r="E254" s="847" t="s">
        <v>1084</v>
      </c>
      <c r="F254" s="849"/>
      <c r="G254" s="840"/>
      <c r="H254" s="1623" t="str">
        <f>'Part II-Development Team'!H59</f>
        <v>5605 Glenridge Drive, Suite 100</v>
      </c>
      <c r="I254" s="1641"/>
      <c r="J254" s="1641"/>
      <c r="K254" s="1641"/>
      <c r="L254" s="1641"/>
      <c r="M254" s="1641"/>
      <c r="N254" s="1641"/>
      <c r="O254" s="847" t="s">
        <v>1871</v>
      </c>
      <c r="P254" s="840"/>
      <c r="Q254" s="1623" t="str">
        <f>'Part II-Development Team'!Q59</f>
        <v>President</v>
      </c>
      <c r="R254" s="1641"/>
      <c r="S254" s="1641"/>
    </row>
    <row r="255" spans="1:19">
      <c r="A255" s="840"/>
      <c r="B255" s="840"/>
      <c r="C255" s="840"/>
      <c r="D255" s="883"/>
      <c r="E255" s="847" t="s">
        <v>660</v>
      </c>
      <c r="F255" s="840"/>
      <c r="G255" s="840"/>
      <c r="H255" s="1623" t="str">
        <f>'Part II-Development Team'!H60</f>
        <v>Atlanta</v>
      </c>
      <c r="I255" s="1641"/>
      <c r="J255" s="1641"/>
      <c r="K255" s="844" t="s">
        <v>2945</v>
      </c>
      <c r="L255" s="1623" t="str">
        <f>'Part II-Development Team'!L60</f>
        <v>www.thebenoitgroup.com</v>
      </c>
      <c r="M255" s="1641"/>
      <c r="N255" s="1641"/>
      <c r="O255" s="847" t="s">
        <v>1928</v>
      </c>
      <c r="P255" s="840"/>
      <c r="Q255" s="1625">
        <f>'Part II-Development Team'!Q60</f>
        <v>6785145901</v>
      </c>
      <c r="R255" s="1625"/>
      <c r="S255" s="1625"/>
    </row>
    <row r="256" spans="1:19">
      <c r="A256" s="840"/>
      <c r="B256" s="840"/>
      <c r="C256" s="840"/>
      <c r="D256" s="840"/>
      <c r="E256" s="847" t="s">
        <v>1924</v>
      </c>
      <c r="F256" s="840"/>
      <c r="G256" s="840"/>
      <c r="H256" s="844" t="str">
        <f>'Part II-Development Team'!H61</f>
        <v>GA</v>
      </c>
      <c r="I256" s="844" t="s">
        <v>3651</v>
      </c>
      <c r="J256" s="1626">
        <f>'Part II-Development Team'!J61</f>
        <v>303421372</v>
      </c>
      <c r="K256" s="1641"/>
      <c r="L256" s="840"/>
      <c r="M256" s="840"/>
      <c r="N256" s="840"/>
      <c r="O256" s="847" t="s">
        <v>2115</v>
      </c>
      <c r="P256" s="840"/>
      <c r="Q256" s="1625">
        <f>'Part II-Development Team'!Q61</f>
        <v>7703293234</v>
      </c>
      <c r="R256" s="1625"/>
      <c r="S256" s="1625"/>
    </row>
    <row r="257" spans="1:19">
      <c r="A257" s="840"/>
      <c r="B257" s="840"/>
      <c r="C257" s="840"/>
      <c r="D257" s="883"/>
      <c r="E257" s="847" t="s">
        <v>2121</v>
      </c>
      <c r="F257" s="840"/>
      <c r="G257" s="840"/>
      <c r="H257" s="1625">
        <f>'Part II-Development Team'!H62</f>
        <v>6785145900</v>
      </c>
      <c r="I257" s="1625"/>
      <c r="J257" s="852">
        <f>'Part II-Development Team'!J62</f>
        <v>0</v>
      </c>
      <c r="K257" s="844" t="s">
        <v>1927</v>
      </c>
      <c r="L257" s="1640">
        <f>'Part II-Development Team'!L62</f>
        <v>6785145919</v>
      </c>
      <c r="M257" s="1641"/>
      <c r="N257" s="849" t="s">
        <v>2120</v>
      </c>
      <c r="O257" s="1635" t="str">
        <f>'Part II-Development Team'!O62</f>
        <v>ebenoit@thebenoitgroup.com</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2122</v>
      </c>
      <c r="C259" s="843" t="s">
        <v>300</v>
      </c>
      <c r="D259" s="840"/>
      <c r="E259" s="840"/>
      <c r="F259" s="840"/>
      <c r="G259" s="840"/>
      <c r="H259" s="1623">
        <f>'Part II-Development Team'!H64</f>
        <v>0</v>
      </c>
      <c r="I259" s="1641"/>
      <c r="J259" s="1641"/>
      <c r="K259" s="1641"/>
      <c r="L259" s="1641"/>
      <c r="M259" s="1641"/>
      <c r="N259" s="1641"/>
      <c r="O259" s="847" t="s">
        <v>2126</v>
      </c>
      <c r="P259" s="847"/>
      <c r="Q259" s="1623">
        <f>'Part II-Development Team'!Q64</f>
        <v>0</v>
      </c>
      <c r="R259" s="1641"/>
      <c r="S259" s="1641"/>
    </row>
    <row r="260" spans="1:19">
      <c r="A260" s="840"/>
      <c r="B260" s="840"/>
      <c r="C260" s="840"/>
      <c r="D260" s="883"/>
      <c r="E260" s="847" t="s">
        <v>1084</v>
      </c>
      <c r="F260" s="849"/>
      <c r="G260" s="840"/>
      <c r="H260" s="1623">
        <f>'Part II-Development Team'!H65</f>
        <v>0</v>
      </c>
      <c r="I260" s="1641"/>
      <c r="J260" s="1641"/>
      <c r="K260" s="1641"/>
      <c r="L260" s="1641"/>
      <c r="M260" s="1641"/>
      <c r="N260" s="1641"/>
      <c r="O260" s="847" t="s">
        <v>1871</v>
      </c>
      <c r="P260" s="840"/>
      <c r="Q260" s="1623">
        <f>'Part II-Development Team'!Q65</f>
        <v>0</v>
      </c>
      <c r="R260" s="1641"/>
      <c r="S260" s="1641"/>
    </row>
    <row r="261" spans="1:19">
      <c r="A261" s="840"/>
      <c r="B261" s="840"/>
      <c r="C261" s="840"/>
      <c r="D261" s="883"/>
      <c r="E261" s="847" t="s">
        <v>660</v>
      </c>
      <c r="F261" s="840"/>
      <c r="G261" s="840"/>
      <c r="H261" s="1623">
        <f>'Part II-Development Team'!H66</f>
        <v>0</v>
      </c>
      <c r="I261" s="1641"/>
      <c r="J261" s="1641"/>
      <c r="K261" s="844" t="s">
        <v>2945</v>
      </c>
      <c r="L261" s="1623">
        <f>'Part II-Development Team'!L66</f>
        <v>0</v>
      </c>
      <c r="M261" s="1641"/>
      <c r="N261" s="1641"/>
      <c r="O261" s="847" t="s">
        <v>1928</v>
      </c>
      <c r="P261" s="840"/>
      <c r="Q261" s="1625">
        <f>'Part II-Development Team'!Q66</f>
        <v>0</v>
      </c>
      <c r="R261" s="1625"/>
      <c r="S261" s="1625"/>
    </row>
    <row r="262" spans="1:19">
      <c r="A262" s="840"/>
      <c r="B262" s="840"/>
      <c r="C262" s="840"/>
      <c r="D262" s="840"/>
      <c r="E262" s="847" t="s">
        <v>1924</v>
      </c>
      <c r="F262" s="840"/>
      <c r="G262" s="840"/>
      <c r="H262" s="844">
        <f>'Part II-Development Team'!H67</f>
        <v>0</v>
      </c>
      <c r="I262" s="844" t="s">
        <v>3651</v>
      </c>
      <c r="J262" s="1626">
        <f>'Part II-Development Team'!J67</f>
        <v>0</v>
      </c>
      <c r="K262" s="1641"/>
      <c r="L262" s="840"/>
      <c r="M262" s="840"/>
      <c r="N262" s="840"/>
      <c r="O262" s="847" t="s">
        <v>2115</v>
      </c>
      <c r="P262" s="840"/>
      <c r="Q262" s="1625">
        <f>'Part II-Development Team'!Q67</f>
        <v>0</v>
      </c>
      <c r="R262" s="1625"/>
      <c r="S262" s="1625"/>
    </row>
    <row r="263" spans="1:19">
      <c r="A263" s="840"/>
      <c r="B263" s="840"/>
      <c r="C263" s="840"/>
      <c r="D263" s="883"/>
      <c r="E263" s="847" t="s">
        <v>2121</v>
      </c>
      <c r="F263" s="840"/>
      <c r="G263" s="840"/>
      <c r="H263" s="1625">
        <f>'Part II-Development Team'!H68</f>
        <v>0</v>
      </c>
      <c r="I263" s="1625"/>
      <c r="J263" s="852">
        <f>'Part II-Development Team'!J68</f>
        <v>0</v>
      </c>
      <c r="K263" s="844" t="s">
        <v>1927</v>
      </c>
      <c r="L263" s="1640">
        <f>'Part II-Development Team'!L68</f>
        <v>0</v>
      </c>
      <c r="M263" s="1641"/>
      <c r="N263" s="849" t="s">
        <v>2120</v>
      </c>
      <c r="O263" s="1635">
        <f>'Part II-Development Team'!O68</f>
        <v>0</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800</v>
      </c>
      <c r="C265" s="843" t="s">
        <v>1635</v>
      </c>
      <c r="D265" s="840"/>
      <c r="E265" s="840"/>
      <c r="F265" s="840"/>
      <c r="G265" s="840"/>
      <c r="H265" s="1623">
        <f>'Part II-Development Team'!H70</f>
        <v>0</v>
      </c>
      <c r="I265" s="1641"/>
      <c r="J265" s="1641"/>
      <c r="K265" s="1641"/>
      <c r="L265" s="1641"/>
      <c r="M265" s="1641"/>
      <c r="N265" s="1641"/>
      <c r="O265" s="847" t="s">
        <v>2126</v>
      </c>
      <c r="P265" s="847"/>
      <c r="Q265" s="1623">
        <f>'Part II-Development Team'!Q70</f>
        <v>0</v>
      </c>
      <c r="R265" s="1641"/>
      <c r="S265" s="1641"/>
    </row>
    <row r="266" spans="1:19">
      <c r="A266" s="840"/>
      <c r="B266" s="840"/>
      <c r="C266" s="840"/>
      <c r="D266" s="883"/>
      <c r="E266" s="847" t="s">
        <v>1084</v>
      </c>
      <c r="F266" s="849"/>
      <c r="G266" s="840"/>
      <c r="H266" s="1623">
        <f>'Part II-Development Team'!H71</f>
        <v>0</v>
      </c>
      <c r="I266" s="1641"/>
      <c r="J266" s="1641"/>
      <c r="K266" s="1641"/>
      <c r="L266" s="1641"/>
      <c r="M266" s="1641"/>
      <c r="N266" s="1641"/>
      <c r="O266" s="847" t="s">
        <v>1871</v>
      </c>
      <c r="P266" s="840"/>
      <c r="Q266" s="1623">
        <f>'Part II-Development Team'!Q71</f>
        <v>0</v>
      </c>
      <c r="R266" s="1641"/>
      <c r="S266" s="1641"/>
    </row>
    <row r="267" spans="1:19">
      <c r="A267" s="840"/>
      <c r="B267" s="840"/>
      <c r="C267" s="840"/>
      <c r="D267" s="883"/>
      <c r="E267" s="847" t="s">
        <v>660</v>
      </c>
      <c r="F267" s="840"/>
      <c r="G267" s="840"/>
      <c r="H267" s="1623">
        <f>'Part II-Development Team'!H72</f>
        <v>0</v>
      </c>
      <c r="I267" s="1641"/>
      <c r="J267" s="1641"/>
      <c r="K267" s="844" t="s">
        <v>2945</v>
      </c>
      <c r="L267" s="1623">
        <f>'Part II-Development Team'!L72</f>
        <v>0</v>
      </c>
      <c r="M267" s="1641"/>
      <c r="N267" s="1641"/>
      <c r="O267" s="847" t="s">
        <v>1928</v>
      </c>
      <c r="P267" s="840"/>
      <c r="Q267" s="1625">
        <f>'Part II-Development Team'!Q72</f>
        <v>0</v>
      </c>
      <c r="R267" s="1625"/>
      <c r="S267" s="1625"/>
    </row>
    <row r="268" spans="1:19">
      <c r="A268" s="840"/>
      <c r="B268" s="840"/>
      <c r="C268" s="840"/>
      <c r="D268" s="840"/>
      <c r="E268" s="847" t="s">
        <v>1924</v>
      </c>
      <c r="F268" s="840"/>
      <c r="G268" s="840"/>
      <c r="H268" s="844">
        <f>'Part II-Development Team'!H73</f>
        <v>0</v>
      </c>
      <c r="I268" s="844" t="s">
        <v>3651</v>
      </c>
      <c r="J268" s="1626">
        <f>'Part II-Development Team'!J73</f>
        <v>0</v>
      </c>
      <c r="K268" s="1641"/>
      <c r="L268" s="840"/>
      <c r="M268" s="840"/>
      <c r="N268" s="840"/>
      <c r="O268" s="847" t="s">
        <v>2115</v>
      </c>
      <c r="P268" s="840"/>
      <c r="Q268" s="1625">
        <f>'Part II-Development Team'!Q73</f>
        <v>0</v>
      </c>
      <c r="R268" s="1625"/>
      <c r="S268" s="1625"/>
    </row>
    <row r="269" spans="1:19">
      <c r="A269" s="840"/>
      <c r="B269" s="840"/>
      <c r="C269" s="840"/>
      <c r="D269" s="883"/>
      <c r="E269" s="847" t="s">
        <v>2121</v>
      </c>
      <c r="F269" s="840"/>
      <c r="G269" s="840"/>
      <c r="H269" s="1625">
        <f>'Part II-Development Team'!H74</f>
        <v>0</v>
      </c>
      <c r="I269" s="1625"/>
      <c r="J269" s="852">
        <f>'Part II-Development Team'!J74</f>
        <v>0</v>
      </c>
      <c r="K269" s="844" t="s">
        <v>1927</v>
      </c>
      <c r="L269" s="1640">
        <f>'Part II-Development Team'!L74</f>
        <v>0</v>
      </c>
      <c r="M269" s="1641"/>
      <c r="N269" s="849" t="s">
        <v>2120</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2254</v>
      </c>
      <c r="C271" s="843" t="s">
        <v>301</v>
      </c>
      <c r="D271" s="840"/>
      <c r="E271" s="840"/>
      <c r="F271" s="840"/>
      <c r="G271" s="840"/>
      <c r="H271" s="1623">
        <f>'Part II-Development Team'!H76</f>
        <v>0</v>
      </c>
      <c r="I271" s="1641"/>
      <c r="J271" s="1641"/>
      <c r="K271" s="1641"/>
      <c r="L271" s="1641"/>
      <c r="M271" s="1641"/>
      <c r="N271" s="1641"/>
      <c r="O271" s="847" t="s">
        <v>2126</v>
      </c>
      <c r="P271" s="847"/>
      <c r="Q271" s="1623">
        <f>'Part II-Development Team'!Q76</f>
        <v>0</v>
      </c>
      <c r="R271" s="1641"/>
      <c r="S271" s="1641"/>
    </row>
    <row r="272" spans="1:19">
      <c r="A272" s="840"/>
      <c r="B272" s="840"/>
      <c r="C272" s="840"/>
      <c r="D272" s="883"/>
      <c r="E272" s="847" t="s">
        <v>1084</v>
      </c>
      <c r="F272" s="849"/>
      <c r="G272" s="840"/>
      <c r="H272" s="1623">
        <f>'Part II-Development Team'!H77</f>
        <v>0</v>
      </c>
      <c r="I272" s="1641"/>
      <c r="J272" s="1641"/>
      <c r="K272" s="1641"/>
      <c r="L272" s="1641"/>
      <c r="M272" s="1641"/>
      <c r="N272" s="1641"/>
      <c r="O272" s="847" t="s">
        <v>1871</v>
      </c>
      <c r="P272" s="840"/>
      <c r="Q272" s="1623">
        <f>'Part II-Development Team'!Q77</f>
        <v>0</v>
      </c>
      <c r="R272" s="1641"/>
      <c r="S272" s="1641"/>
    </row>
    <row r="273" spans="1:19">
      <c r="A273" s="840"/>
      <c r="B273" s="840"/>
      <c r="C273" s="840"/>
      <c r="D273" s="883"/>
      <c r="E273" s="847" t="s">
        <v>660</v>
      </c>
      <c r="F273" s="840"/>
      <c r="G273" s="840"/>
      <c r="H273" s="1623">
        <f>'Part II-Development Team'!H78</f>
        <v>0</v>
      </c>
      <c r="I273" s="1641"/>
      <c r="J273" s="1641"/>
      <c r="K273" s="844" t="s">
        <v>2945</v>
      </c>
      <c r="L273" s="1623">
        <f>'Part II-Development Team'!L78</f>
        <v>0</v>
      </c>
      <c r="M273" s="1641"/>
      <c r="N273" s="1641"/>
      <c r="O273" s="847" t="s">
        <v>1928</v>
      </c>
      <c r="P273" s="840"/>
      <c r="Q273" s="1625">
        <f>'Part II-Development Team'!Q78</f>
        <v>0</v>
      </c>
      <c r="R273" s="1625"/>
      <c r="S273" s="1625"/>
    </row>
    <row r="274" spans="1:19">
      <c r="A274" s="840"/>
      <c r="B274" s="840"/>
      <c r="C274" s="840"/>
      <c r="D274" s="840"/>
      <c r="E274" s="847" t="s">
        <v>1924</v>
      </c>
      <c r="F274" s="840"/>
      <c r="G274" s="840"/>
      <c r="H274" s="844">
        <f>'Part II-Development Team'!H79</f>
        <v>0</v>
      </c>
      <c r="I274" s="844" t="s">
        <v>3651</v>
      </c>
      <c r="J274" s="1626">
        <f>'Part II-Development Team'!J79</f>
        <v>0</v>
      </c>
      <c r="K274" s="1641"/>
      <c r="L274" s="840"/>
      <c r="M274" s="840"/>
      <c r="N274" s="840"/>
      <c r="O274" s="847" t="s">
        <v>2115</v>
      </c>
      <c r="P274" s="840"/>
      <c r="Q274" s="1625">
        <f>'Part II-Development Team'!Q79</f>
        <v>0</v>
      </c>
      <c r="R274" s="1625"/>
      <c r="S274" s="1625"/>
    </row>
    <row r="275" spans="1:19">
      <c r="A275" s="840"/>
      <c r="B275" s="840"/>
      <c r="C275" s="840"/>
      <c r="D275" s="883"/>
      <c r="E275" s="847" t="s">
        <v>2121</v>
      </c>
      <c r="F275" s="840"/>
      <c r="G275" s="840"/>
      <c r="H275" s="1625">
        <f>'Part II-Development Team'!H80</f>
        <v>0</v>
      </c>
      <c r="I275" s="1625"/>
      <c r="J275" s="852">
        <f>'Part II-Development Team'!J80</f>
        <v>0</v>
      </c>
      <c r="K275" s="844" t="s">
        <v>1927</v>
      </c>
      <c r="L275" s="1640">
        <f>'Part II-Development Team'!L80</f>
        <v>0</v>
      </c>
      <c r="M275" s="1641"/>
      <c r="N275" s="849" t="s">
        <v>2120</v>
      </c>
      <c r="O275" s="1635">
        <f>'Part II-Development Team'!O80</f>
        <v>0</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793</v>
      </c>
      <c r="B277" s="841" t="s">
        <v>302</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2119</v>
      </c>
      <c r="C279" s="843" t="s">
        <v>303</v>
      </c>
      <c r="D279" s="840"/>
      <c r="E279" s="840"/>
      <c r="F279" s="840"/>
      <c r="G279" s="840"/>
      <c r="H279" s="1623">
        <f>'Part II-Development Team'!H84</f>
        <v>0</v>
      </c>
      <c r="I279" s="1641"/>
      <c r="J279" s="1641"/>
      <c r="K279" s="1641"/>
      <c r="L279" s="1641"/>
      <c r="M279" s="1641"/>
      <c r="N279" s="1641"/>
      <c r="O279" s="847" t="s">
        <v>2126</v>
      </c>
      <c r="P279" s="847"/>
      <c r="Q279" s="1623">
        <f>'Part II-Development Team'!Q84</f>
        <v>0</v>
      </c>
      <c r="R279" s="1641"/>
      <c r="S279" s="1641"/>
    </row>
    <row r="280" spans="1:19">
      <c r="A280" s="840"/>
      <c r="B280" s="840"/>
      <c r="C280" s="840"/>
      <c r="D280" s="883"/>
      <c r="E280" s="847" t="s">
        <v>1084</v>
      </c>
      <c r="F280" s="849"/>
      <c r="G280" s="840"/>
      <c r="H280" s="1623">
        <f>'Part II-Development Team'!H85</f>
        <v>0</v>
      </c>
      <c r="I280" s="1641"/>
      <c r="J280" s="1641"/>
      <c r="K280" s="1641"/>
      <c r="L280" s="1641"/>
      <c r="M280" s="1641"/>
      <c r="N280" s="1641"/>
      <c r="O280" s="847" t="s">
        <v>1871</v>
      </c>
      <c r="P280" s="840"/>
      <c r="Q280" s="1623">
        <f>'Part II-Development Team'!Q85</f>
        <v>0</v>
      </c>
      <c r="R280" s="1641"/>
      <c r="S280" s="1641"/>
    </row>
    <row r="281" spans="1:19">
      <c r="A281" s="840"/>
      <c r="B281" s="840"/>
      <c r="C281" s="840"/>
      <c r="D281" s="883"/>
      <c r="E281" s="847" t="s">
        <v>660</v>
      </c>
      <c r="F281" s="840"/>
      <c r="G281" s="840"/>
      <c r="H281" s="1623">
        <f>'Part II-Development Team'!H86</f>
        <v>0</v>
      </c>
      <c r="I281" s="1641"/>
      <c r="J281" s="1641"/>
      <c r="K281" s="844" t="s">
        <v>2945</v>
      </c>
      <c r="L281" s="1623">
        <f>'Part II-Development Team'!L86</f>
        <v>0</v>
      </c>
      <c r="M281" s="1641"/>
      <c r="N281" s="1641"/>
      <c r="O281" s="847" t="s">
        <v>1928</v>
      </c>
      <c r="P281" s="840"/>
      <c r="Q281" s="1625">
        <f>'Part II-Development Team'!Q86</f>
        <v>0</v>
      </c>
      <c r="R281" s="1625"/>
      <c r="S281" s="1625"/>
    </row>
    <row r="282" spans="1:19">
      <c r="A282" s="840"/>
      <c r="B282" s="840"/>
      <c r="C282" s="840"/>
      <c r="D282" s="840"/>
      <c r="E282" s="847" t="s">
        <v>1924</v>
      </c>
      <c r="F282" s="840"/>
      <c r="G282" s="840"/>
      <c r="H282" s="844">
        <f>'Part II-Development Team'!H87</f>
        <v>0</v>
      </c>
      <c r="I282" s="844" t="s">
        <v>3651</v>
      </c>
      <c r="J282" s="1626">
        <f>'Part II-Development Team'!J87</f>
        <v>0</v>
      </c>
      <c r="K282" s="1641"/>
      <c r="L282" s="840"/>
      <c r="M282" s="840"/>
      <c r="N282" s="840"/>
      <c r="O282" s="847" t="s">
        <v>2115</v>
      </c>
      <c r="P282" s="840"/>
      <c r="Q282" s="1625">
        <f>'Part II-Development Team'!Q87</f>
        <v>0</v>
      </c>
      <c r="R282" s="1625"/>
      <c r="S282" s="1625"/>
    </row>
    <row r="283" spans="1:19">
      <c r="A283" s="840"/>
      <c r="B283" s="840"/>
      <c r="C283" s="840"/>
      <c r="D283" s="883"/>
      <c r="E283" s="847" t="s">
        <v>2121</v>
      </c>
      <c r="F283" s="840"/>
      <c r="G283" s="840"/>
      <c r="H283" s="1625">
        <f>'Part II-Development Team'!H88</f>
        <v>0</v>
      </c>
      <c r="I283" s="1625"/>
      <c r="J283" s="852">
        <f>'Part II-Development Team'!J88</f>
        <v>0</v>
      </c>
      <c r="K283" s="844" t="s">
        <v>1927</v>
      </c>
      <c r="L283" s="1640">
        <f>'Part II-Development Team'!L88</f>
        <v>0</v>
      </c>
      <c r="M283" s="1641"/>
      <c r="N283" s="849" t="s">
        <v>2120</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2122</v>
      </c>
      <c r="C285" s="843" t="s">
        <v>304</v>
      </c>
      <c r="D285" s="840"/>
      <c r="E285" s="840"/>
      <c r="F285" s="840"/>
      <c r="G285" s="840"/>
      <c r="H285" s="1623" t="str">
        <f>'Part II-Development Team'!H90</f>
        <v>H.J. Russell and Company</v>
      </c>
      <c r="I285" s="1641"/>
      <c r="J285" s="1641"/>
      <c r="K285" s="1641"/>
      <c r="L285" s="1641"/>
      <c r="M285" s="1641"/>
      <c r="N285" s="1641"/>
      <c r="O285" s="847" t="s">
        <v>2126</v>
      </c>
      <c r="P285" s="847"/>
      <c r="Q285" s="1623" t="str">
        <f>'Part II-Development Team'!Q90</f>
        <v>H. Jerome Russell</v>
      </c>
      <c r="R285" s="1641"/>
      <c r="S285" s="1641"/>
    </row>
    <row r="286" spans="1:19">
      <c r="A286" s="840"/>
      <c r="B286" s="840"/>
      <c r="C286" s="840"/>
      <c r="D286" s="883"/>
      <c r="E286" s="847" t="s">
        <v>1084</v>
      </c>
      <c r="F286" s="849"/>
      <c r="G286" s="840"/>
      <c r="H286" s="1623" t="str">
        <f>'Part II-Development Team'!H91</f>
        <v>504 Fair Street, SW</v>
      </c>
      <c r="I286" s="1641"/>
      <c r="J286" s="1641"/>
      <c r="K286" s="1641"/>
      <c r="L286" s="1641"/>
      <c r="M286" s="1641"/>
      <c r="N286" s="1641"/>
      <c r="O286" s="847" t="s">
        <v>1871</v>
      </c>
      <c r="P286" s="840"/>
      <c r="Q286" s="1623" t="str">
        <f>'Part II-Development Team'!Q91</f>
        <v>President</v>
      </c>
      <c r="R286" s="1641"/>
      <c r="S286" s="1641"/>
    </row>
    <row r="287" spans="1:19">
      <c r="A287" s="840"/>
      <c r="B287" s="840"/>
      <c r="C287" s="840"/>
      <c r="D287" s="883"/>
      <c r="E287" s="847" t="s">
        <v>660</v>
      </c>
      <c r="F287" s="840"/>
      <c r="G287" s="840"/>
      <c r="H287" s="1623" t="str">
        <f>'Part II-Development Team'!H92</f>
        <v>Atlanta</v>
      </c>
      <c r="I287" s="1641"/>
      <c r="J287" s="1641"/>
      <c r="K287" s="844" t="s">
        <v>2945</v>
      </c>
      <c r="L287" s="1623" t="str">
        <f>'Part II-Development Team'!L92</f>
        <v>www.hjrussell.com</v>
      </c>
      <c r="M287" s="1641"/>
      <c r="N287" s="1641"/>
      <c r="O287" s="847" t="s">
        <v>1928</v>
      </c>
      <c r="P287" s="840"/>
      <c r="Q287" s="1625">
        <f>'Part II-Development Team'!Q92</f>
        <v>4043300917</v>
      </c>
      <c r="R287" s="1625"/>
      <c r="S287" s="1625"/>
    </row>
    <row r="288" spans="1:19">
      <c r="A288" s="840"/>
      <c r="B288" s="840"/>
      <c r="C288" s="840"/>
      <c r="D288" s="840"/>
      <c r="E288" s="847" t="s">
        <v>1924</v>
      </c>
      <c r="F288" s="840"/>
      <c r="G288" s="840"/>
      <c r="H288" s="844" t="str">
        <f>'Part II-Development Team'!H93</f>
        <v>GA</v>
      </c>
      <c r="I288" s="844" t="s">
        <v>3651</v>
      </c>
      <c r="J288" s="1626">
        <f>'Part II-Development Team'!J93</f>
        <v>303130000</v>
      </c>
      <c r="K288" s="1641"/>
      <c r="L288" s="840"/>
      <c r="M288" s="840"/>
      <c r="N288" s="840"/>
      <c r="O288" s="847" t="s">
        <v>2115</v>
      </c>
      <c r="P288" s="840"/>
      <c r="Q288" s="1625">
        <f>'Part II-Development Team'!Q93</f>
        <v>4045090513</v>
      </c>
      <c r="R288" s="1625"/>
      <c r="S288" s="1625"/>
    </row>
    <row r="289" spans="1:19">
      <c r="A289" s="840"/>
      <c r="B289" s="840"/>
      <c r="C289" s="840"/>
      <c r="D289" s="883"/>
      <c r="E289" s="847" t="s">
        <v>2121</v>
      </c>
      <c r="F289" s="840"/>
      <c r="G289" s="840"/>
      <c r="H289" s="1625">
        <f>'Part II-Development Team'!H94</f>
        <v>4043301000</v>
      </c>
      <c r="I289" s="1625"/>
      <c r="J289" s="852">
        <f>'Part II-Development Team'!J94</f>
        <v>0</v>
      </c>
      <c r="K289" s="844" t="s">
        <v>1927</v>
      </c>
      <c r="L289" s="1640">
        <f>'Part II-Development Team'!L94</f>
        <v>4046885179</v>
      </c>
      <c r="M289" s="1641"/>
      <c r="N289" s="849" t="s">
        <v>2120</v>
      </c>
      <c r="O289" s="1635" t="str">
        <f>'Part II-Development Team'!O94</f>
        <v>jrussell@hjrussell.com</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800</v>
      </c>
      <c r="C291" s="843" t="s">
        <v>305</v>
      </c>
      <c r="D291" s="840"/>
      <c r="E291" s="840"/>
      <c r="F291" s="845"/>
      <c r="G291" s="840"/>
      <c r="H291" s="1623" t="str">
        <f>'Part II-Development Team'!H96</f>
        <v>Dorchester Management</v>
      </c>
      <c r="I291" s="1641"/>
      <c r="J291" s="1641"/>
      <c r="K291" s="1641"/>
      <c r="L291" s="1641"/>
      <c r="M291" s="1641"/>
      <c r="N291" s="1641"/>
      <c r="O291" s="847" t="s">
        <v>2126</v>
      </c>
      <c r="P291" s="847"/>
      <c r="Q291" s="1623" t="str">
        <f>'Part II-Development Team'!Q96</f>
        <v>Tina Sibley</v>
      </c>
      <c r="R291" s="1641"/>
      <c r="S291" s="1641"/>
    </row>
    <row r="292" spans="1:19">
      <c r="A292" s="840"/>
      <c r="B292" s="840"/>
      <c r="C292" s="840"/>
      <c r="D292" s="883"/>
      <c r="E292" s="847" t="s">
        <v>1084</v>
      </c>
      <c r="F292" s="849"/>
      <c r="G292" s="840"/>
      <c r="H292" s="1623" t="str">
        <f>'Part II-Development Team'!H97</f>
        <v>5605 Glenridge Drive, Suite 100</v>
      </c>
      <c r="I292" s="1641"/>
      <c r="J292" s="1641"/>
      <c r="K292" s="1641"/>
      <c r="L292" s="1641"/>
      <c r="M292" s="1641"/>
      <c r="N292" s="1641"/>
      <c r="O292" s="847" t="s">
        <v>1871</v>
      </c>
      <c r="P292" s="840"/>
      <c r="Q292" s="1623" t="str">
        <f>'Part II-Development Team'!Q97</f>
        <v>Regional VP</v>
      </c>
      <c r="R292" s="1641"/>
      <c r="S292" s="1641"/>
    </row>
    <row r="293" spans="1:19">
      <c r="A293" s="840"/>
      <c r="B293" s="840"/>
      <c r="C293" s="840"/>
      <c r="D293" s="883"/>
      <c r="E293" s="847" t="s">
        <v>660</v>
      </c>
      <c r="F293" s="840"/>
      <c r="G293" s="840"/>
      <c r="H293" s="1623" t="str">
        <f>'Part II-Development Team'!H98</f>
        <v>Atlanta</v>
      </c>
      <c r="I293" s="1641"/>
      <c r="J293" s="1641"/>
      <c r="K293" s="844" t="s">
        <v>2945</v>
      </c>
      <c r="L293" s="1623">
        <f>'Part II-Development Team'!L98</f>
        <v>0</v>
      </c>
      <c r="M293" s="1641"/>
      <c r="N293" s="1641"/>
      <c r="O293" s="847" t="s">
        <v>1928</v>
      </c>
      <c r="P293" s="840"/>
      <c r="Q293" s="1625">
        <f>'Part II-Development Team'!Q98</f>
        <v>6785145905</v>
      </c>
      <c r="R293" s="1625"/>
      <c r="S293" s="1625"/>
    </row>
    <row r="294" spans="1:19">
      <c r="A294" s="840"/>
      <c r="B294" s="840"/>
      <c r="C294" s="840"/>
      <c r="D294" s="883"/>
      <c r="E294" s="847" t="s">
        <v>1924</v>
      </c>
      <c r="F294" s="840"/>
      <c r="G294" s="840"/>
      <c r="H294" s="844" t="str">
        <f>'Part II-Development Team'!H99</f>
        <v>GA</v>
      </c>
      <c r="I294" s="844" t="s">
        <v>3651</v>
      </c>
      <c r="J294" s="1626">
        <f>'Part II-Development Team'!J99</f>
        <v>303421372</v>
      </c>
      <c r="K294" s="1641"/>
      <c r="L294" s="840"/>
      <c r="M294" s="840"/>
      <c r="N294" s="840"/>
      <c r="O294" s="847" t="s">
        <v>2115</v>
      </c>
      <c r="P294" s="840"/>
      <c r="Q294" s="1625">
        <f>'Part II-Development Team'!Q99</f>
        <v>4047750732</v>
      </c>
      <c r="R294" s="1625"/>
      <c r="S294" s="1625"/>
    </row>
    <row r="295" spans="1:19">
      <c r="A295" s="840"/>
      <c r="B295" s="840"/>
      <c r="C295" s="840"/>
      <c r="D295" s="883"/>
      <c r="E295" s="847" t="s">
        <v>2121</v>
      </c>
      <c r="F295" s="840"/>
      <c r="G295" s="840"/>
      <c r="H295" s="1625">
        <f>'Part II-Development Team'!H100</f>
        <v>6785145900</v>
      </c>
      <c r="I295" s="1625"/>
      <c r="J295" s="852">
        <f>'Part II-Development Team'!J100</f>
        <v>0</v>
      </c>
      <c r="K295" s="844" t="s">
        <v>1927</v>
      </c>
      <c r="L295" s="1640">
        <f>'Part II-Development Team'!L100</f>
        <v>6785145919</v>
      </c>
      <c r="M295" s="1641"/>
      <c r="N295" s="849" t="s">
        <v>2120</v>
      </c>
      <c r="O295" s="1635" t="str">
        <f>'Part II-Development Team'!O100</f>
        <v>tsibley@dorchestermgmt.com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2254</v>
      </c>
      <c r="C297" s="843" t="s">
        <v>306</v>
      </c>
      <c r="D297" s="840"/>
      <c r="E297" s="840"/>
      <c r="F297" s="840"/>
      <c r="G297" s="840"/>
      <c r="H297" s="1623" t="str">
        <f>'Part II-Development Team'!H102</f>
        <v>DLA Piper LLP</v>
      </c>
      <c r="I297" s="1641"/>
      <c r="J297" s="1641"/>
      <c r="K297" s="1641"/>
      <c r="L297" s="1641"/>
      <c r="M297" s="1641"/>
      <c r="N297" s="1641"/>
      <c r="O297" s="847" t="s">
        <v>2126</v>
      </c>
      <c r="P297" s="847"/>
      <c r="Q297" s="1623" t="str">
        <f>'Part II-Development Team'!Q102</f>
        <v>Elizabeth H. Friedgut</v>
      </c>
      <c r="R297" s="1641"/>
      <c r="S297" s="1641"/>
    </row>
    <row r="298" spans="1:19">
      <c r="A298" s="840"/>
      <c r="B298" s="840"/>
      <c r="C298" s="840"/>
      <c r="D298" s="883"/>
      <c r="E298" s="847" t="s">
        <v>1084</v>
      </c>
      <c r="F298" s="849"/>
      <c r="G298" s="840"/>
      <c r="H298" s="1623" t="str">
        <f>'Part II-Development Team'!H103</f>
        <v>203 North LaSalle Street, Suite 1900</v>
      </c>
      <c r="I298" s="1641"/>
      <c r="J298" s="1641"/>
      <c r="K298" s="1641"/>
      <c r="L298" s="1641"/>
      <c r="M298" s="1641"/>
      <c r="N298" s="1641"/>
      <c r="O298" s="847" t="s">
        <v>1871</v>
      </c>
      <c r="P298" s="840"/>
      <c r="Q298" s="1623" t="str">
        <f>'Part II-Development Team'!Q103</f>
        <v>Partner</v>
      </c>
      <c r="R298" s="1641"/>
      <c r="S298" s="1641"/>
    </row>
    <row r="299" spans="1:19">
      <c r="A299" s="840"/>
      <c r="B299" s="840"/>
      <c r="C299" s="840"/>
      <c r="D299" s="883"/>
      <c r="E299" s="847" t="s">
        <v>660</v>
      </c>
      <c r="F299" s="840"/>
      <c r="G299" s="840"/>
      <c r="H299" s="1623" t="str">
        <f>'Part II-Development Team'!H104</f>
        <v>Chicago</v>
      </c>
      <c r="I299" s="1641"/>
      <c r="J299" s="1641"/>
      <c r="K299" s="844" t="s">
        <v>2945</v>
      </c>
      <c r="L299" s="1623" t="str">
        <f>'Part II-Development Team'!L104</f>
        <v>www.dlapiper.com</v>
      </c>
      <c r="M299" s="1641"/>
      <c r="N299" s="1641"/>
      <c r="O299" s="847" t="s">
        <v>1928</v>
      </c>
      <c r="P299" s="840"/>
      <c r="Q299" s="1625">
        <f>'Part II-Development Team'!Q104</f>
        <v>3123682105</v>
      </c>
      <c r="R299" s="1625"/>
      <c r="S299" s="1625"/>
    </row>
    <row r="300" spans="1:19">
      <c r="A300" s="840"/>
      <c r="B300" s="840"/>
      <c r="C300" s="840"/>
      <c r="D300" s="883"/>
      <c r="E300" s="847" t="s">
        <v>1924</v>
      </c>
      <c r="F300" s="840"/>
      <c r="G300" s="840"/>
      <c r="H300" s="844" t="str">
        <f>'Part II-Development Team'!H105</f>
        <v>IL</v>
      </c>
      <c r="I300" s="844" t="s">
        <v>3651</v>
      </c>
      <c r="J300" s="1626">
        <f>'Part II-Development Team'!J105</f>
        <v>606011293</v>
      </c>
      <c r="K300" s="1641"/>
      <c r="L300" s="840"/>
      <c r="M300" s="840"/>
      <c r="N300" s="840"/>
      <c r="O300" s="847" t="s">
        <v>2115</v>
      </c>
      <c r="P300" s="840"/>
      <c r="Q300" s="1625">
        <f>'Part II-Development Team'!Q105</f>
        <v>3125135385</v>
      </c>
      <c r="R300" s="1625"/>
      <c r="S300" s="1625"/>
    </row>
    <row r="301" spans="1:19">
      <c r="A301" s="845"/>
      <c r="B301" s="845"/>
      <c r="C301" s="845"/>
      <c r="D301" s="845"/>
      <c r="E301" s="847" t="s">
        <v>2121</v>
      </c>
      <c r="F301" s="840"/>
      <c r="G301" s="840"/>
      <c r="H301" s="1625">
        <f>'Part II-Development Team'!H106</f>
        <v>3123684000</v>
      </c>
      <c r="I301" s="1625"/>
      <c r="J301" s="852">
        <f>'Part II-Development Team'!J106</f>
        <v>0</v>
      </c>
      <c r="K301" s="844" t="s">
        <v>1927</v>
      </c>
      <c r="L301" s="1640">
        <f>'Part II-Development Team'!L106</f>
        <v>3126305341</v>
      </c>
      <c r="M301" s="1641"/>
      <c r="N301" s="849" t="s">
        <v>2120</v>
      </c>
      <c r="O301" s="1635" t="str">
        <f>'Part II-Development Team'!O106</f>
        <v>elizabeth.friedgut@dlapiper.com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1858</v>
      </c>
      <c r="C304" s="843" t="s">
        <v>307</v>
      </c>
      <c r="D304" s="840"/>
      <c r="E304" s="840"/>
      <c r="F304" s="840"/>
      <c r="G304" s="840"/>
      <c r="H304" s="1623" t="str">
        <f>'Part II-Development Team'!H109</f>
        <v>Cohn Reznick</v>
      </c>
      <c r="I304" s="1641"/>
      <c r="J304" s="1641"/>
      <c r="K304" s="1641"/>
      <c r="L304" s="1641"/>
      <c r="M304" s="1641"/>
      <c r="N304" s="1641"/>
      <c r="O304" s="847" t="s">
        <v>2126</v>
      </c>
      <c r="P304" s="847"/>
      <c r="Q304" s="1623" t="str">
        <f>'Part II-Development Team'!Q109</f>
        <v>Josh Northcutt</v>
      </c>
      <c r="R304" s="1641"/>
      <c r="S304" s="1641"/>
    </row>
    <row r="305" spans="1:19">
      <c r="A305" s="840"/>
      <c r="B305" s="840"/>
      <c r="C305" s="840"/>
      <c r="D305" s="883"/>
      <c r="E305" s="847" t="s">
        <v>1084</v>
      </c>
      <c r="F305" s="849"/>
      <c r="G305" s="840"/>
      <c r="H305" s="1623" t="str">
        <f>'Part II-Development Team'!H110</f>
        <v>2560 Lenox Road NE, Suite 2800</v>
      </c>
      <c r="I305" s="1641"/>
      <c r="J305" s="1641"/>
      <c r="K305" s="1641"/>
      <c r="L305" s="1641"/>
      <c r="M305" s="1641"/>
      <c r="N305" s="1641"/>
      <c r="O305" s="847" t="s">
        <v>1871</v>
      </c>
      <c r="P305" s="840"/>
      <c r="Q305" s="1623" t="str">
        <f>'Part II-Development Team'!Q110</f>
        <v>Managing Partner</v>
      </c>
      <c r="R305" s="1641"/>
      <c r="S305" s="1641"/>
    </row>
    <row r="306" spans="1:19">
      <c r="A306" s="840"/>
      <c r="B306" s="840"/>
      <c r="C306" s="840"/>
      <c r="D306" s="883"/>
      <c r="E306" s="847" t="s">
        <v>660</v>
      </c>
      <c r="F306" s="840"/>
      <c r="G306" s="840"/>
      <c r="H306" s="1623" t="str">
        <f>'Part II-Development Team'!H111</f>
        <v>Atlanta</v>
      </c>
      <c r="I306" s="1641"/>
      <c r="J306" s="1641"/>
      <c r="K306" s="844" t="s">
        <v>2945</v>
      </c>
      <c r="L306" s="1623" t="str">
        <f>'Part II-Development Team'!L111</f>
        <v>www.cohnreznick.com</v>
      </c>
      <c r="M306" s="1641"/>
      <c r="N306" s="1641"/>
      <c r="O306" s="847" t="s">
        <v>1928</v>
      </c>
      <c r="P306" s="840"/>
      <c r="Q306" s="1625">
        <f>'Part II-Development Team'!Q111</f>
        <v>4048479447</v>
      </c>
      <c r="R306" s="1625"/>
      <c r="S306" s="1625"/>
    </row>
    <row r="307" spans="1:19">
      <c r="A307" s="840"/>
      <c r="B307" s="840"/>
      <c r="C307" s="840"/>
      <c r="D307" s="883"/>
      <c r="E307" s="847" t="s">
        <v>1924</v>
      </c>
      <c r="F307" s="840"/>
      <c r="G307" s="840"/>
      <c r="H307" s="844" t="str">
        <f>'Part II-Development Team'!H112</f>
        <v>GA</v>
      </c>
      <c r="I307" s="844" t="s">
        <v>3651</v>
      </c>
      <c r="J307" s="1626">
        <f>'Part II-Development Team'!J112</f>
        <v>303264276</v>
      </c>
      <c r="K307" s="1641"/>
      <c r="L307" s="840"/>
      <c r="M307" s="840"/>
      <c r="N307" s="840"/>
      <c r="O307" s="847" t="s">
        <v>2115</v>
      </c>
      <c r="P307" s="840"/>
      <c r="Q307" s="1625">
        <f>'Part II-Development Team'!Q112</f>
        <v>4042857248</v>
      </c>
      <c r="R307" s="1625"/>
      <c r="S307" s="1625"/>
    </row>
    <row r="308" spans="1:19">
      <c r="A308" s="845"/>
      <c r="B308" s="845"/>
      <c r="C308" s="845"/>
      <c r="D308" s="845"/>
      <c r="E308" s="847" t="s">
        <v>2121</v>
      </c>
      <c r="F308" s="840"/>
      <c r="G308" s="840"/>
      <c r="H308" s="1625">
        <f>'Part II-Development Team'!H113</f>
        <v>4048479447</v>
      </c>
      <c r="I308" s="1625"/>
      <c r="J308" s="852">
        <f>'Part II-Development Team'!J113</f>
        <v>0</v>
      </c>
      <c r="K308" s="844" t="s">
        <v>1927</v>
      </c>
      <c r="L308" s="1640">
        <f>'Part II-Development Team'!L113</f>
        <v>4048477627</v>
      </c>
      <c r="M308" s="1641"/>
      <c r="N308" s="849" t="s">
        <v>2120</v>
      </c>
      <c r="O308" s="1635" t="str">
        <f>'Part II-Development Team'!O113</f>
        <v>joshua.northcutt@cohnreznick.com</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1859</v>
      </c>
      <c r="C310" s="843" t="s">
        <v>308</v>
      </c>
      <c r="D310" s="840"/>
      <c r="E310" s="840"/>
      <c r="F310" s="840"/>
      <c r="G310" s="840"/>
      <c r="H310" s="1623" t="str">
        <f>'Part II-Development Team'!H115</f>
        <v>Martin Riley and Associates</v>
      </c>
      <c r="I310" s="1641"/>
      <c r="J310" s="1641"/>
      <c r="K310" s="1641"/>
      <c r="L310" s="1641"/>
      <c r="M310" s="1641"/>
      <c r="N310" s="1641"/>
      <c r="O310" s="847" t="s">
        <v>2126</v>
      </c>
      <c r="P310" s="847"/>
      <c r="Q310" s="1623" t="str">
        <f>'Part II-Development Team'!Q115</f>
        <v>Michael T. Riley</v>
      </c>
      <c r="R310" s="1641"/>
      <c r="S310" s="1641"/>
    </row>
    <row r="311" spans="1:19">
      <c r="A311" s="840"/>
      <c r="B311" s="840"/>
      <c r="C311" s="840"/>
      <c r="D311" s="883"/>
      <c r="E311" s="847" t="s">
        <v>1084</v>
      </c>
      <c r="F311" s="849"/>
      <c r="G311" s="840"/>
      <c r="H311" s="1623" t="str">
        <f>'Part II-Development Team'!H116</f>
        <v>215 Church Street, Suite 200</v>
      </c>
      <c r="I311" s="1641"/>
      <c r="J311" s="1641"/>
      <c r="K311" s="1641"/>
      <c r="L311" s="1641"/>
      <c r="M311" s="1641"/>
      <c r="N311" s="1641"/>
      <c r="O311" s="847" t="s">
        <v>1871</v>
      </c>
      <c r="P311" s="840"/>
      <c r="Q311" s="1623" t="str">
        <f>'Part II-Development Team'!Q116</f>
        <v>Architect</v>
      </c>
      <c r="R311" s="1641"/>
      <c r="S311" s="1641"/>
    </row>
    <row r="312" spans="1:19">
      <c r="A312" s="840"/>
      <c r="B312" s="840"/>
      <c r="C312" s="840"/>
      <c r="D312" s="883"/>
      <c r="E312" s="847" t="s">
        <v>660</v>
      </c>
      <c r="F312" s="840"/>
      <c r="G312" s="840"/>
      <c r="H312" s="1623" t="str">
        <f>'Part II-Development Team'!H117</f>
        <v>Atlanta</v>
      </c>
      <c r="I312" s="1641"/>
      <c r="J312" s="1641"/>
      <c r="K312" s="844" t="s">
        <v>2945</v>
      </c>
      <c r="L312" s="1623" t="str">
        <f>'Part II-Development Team'!L117</f>
        <v>www.martinriley.com</v>
      </c>
      <c r="M312" s="1641"/>
      <c r="N312" s="1641"/>
      <c r="O312" s="847" t="s">
        <v>1928</v>
      </c>
      <c r="P312" s="840"/>
      <c r="Q312" s="1625">
        <f>'Part II-Development Team'!Q117</f>
        <v>4043732888</v>
      </c>
      <c r="R312" s="1625"/>
      <c r="S312" s="1625"/>
    </row>
    <row r="313" spans="1:19">
      <c r="A313" s="840"/>
      <c r="B313" s="840"/>
      <c r="C313" s="840"/>
      <c r="D313" s="883"/>
      <c r="E313" s="847" t="s">
        <v>1924</v>
      </c>
      <c r="F313" s="840"/>
      <c r="G313" s="840"/>
      <c r="H313" s="844" t="str">
        <f>'Part II-Development Team'!H118</f>
        <v>GA</v>
      </c>
      <c r="I313" s="844" t="s">
        <v>3651</v>
      </c>
      <c r="J313" s="1626">
        <f>'Part II-Development Team'!J118</f>
        <v>300300000</v>
      </c>
      <c r="K313" s="1641"/>
      <c r="L313" s="840"/>
      <c r="M313" s="840"/>
      <c r="N313" s="840"/>
      <c r="O313" s="847" t="s">
        <v>2115</v>
      </c>
      <c r="P313" s="840"/>
      <c r="Q313" s="1625">
        <f>'Part II-Development Team'!Q118</f>
        <v>4042903390</v>
      </c>
      <c r="R313" s="1625"/>
      <c r="S313" s="1625"/>
    </row>
    <row r="314" spans="1:19">
      <c r="A314" s="840"/>
      <c r="B314" s="840"/>
      <c r="C314" s="840"/>
      <c r="D314" s="883"/>
      <c r="E314" s="847" t="s">
        <v>2121</v>
      </c>
      <c r="F314" s="840"/>
      <c r="G314" s="840"/>
      <c r="H314" s="1625">
        <f>'Part II-Development Team'!H119</f>
        <v>4043732800</v>
      </c>
      <c r="I314" s="1625"/>
      <c r="J314" s="852">
        <f>'Part II-Development Team'!J119</f>
        <v>0</v>
      </c>
      <c r="K314" s="844" t="s">
        <v>1927</v>
      </c>
      <c r="L314" s="1640">
        <f>'Part II-Development Team'!L119</f>
        <v>4043732888</v>
      </c>
      <c r="M314" s="1641"/>
      <c r="N314" s="849" t="s">
        <v>2120</v>
      </c>
      <c r="O314" s="1635" t="str">
        <f>'Part II-Development Team'!O119</f>
        <v>mriley@martinriley.com</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1917</v>
      </c>
      <c r="B316" s="843" t="s">
        <v>2786</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2119</v>
      </c>
      <c r="C318" s="843" t="s">
        <v>3384</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3385</v>
      </c>
      <c r="D319" s="845"/>
      <c r="E319" s="845"/>
      <c r="F319" s="845"/>
      <c r="G319" s="845"/>
      <c r="H319" s="852" t="s">
        <v>2682</v>
      </c>
      <c r="I319" s="845" t="s">
        <v>3388</v>
      </c>
      <c r="J319" s="845"/>
      <c r="K319" s="845"/>
      <c r="L319" s="845"/>
      <c r="M319" s="845"/>
      <c r="N319" s="845"/>
      <c r="O319" s="845"/>
      <c r="P319" s="845"/>
      <c r="Q319" s="845"/>
      <c r="R319" s="845"/>
      <c r="S319" s="845"/>
    </row>
    <row r="320" spans="1:19">
      <c r="A320" s="840"/>
      <c r="B320" s="840"/>
      <c r="C320" s="888" t="s">
        <v>2123</v>
      </c>
      <c r="D320" s="840" t="s">
        <v>3386</v>
      </c>
      <c r="E320" s="840"/>
      <c r="F320" s="840"/>
      <c r="G320" s="840"/>
      <c r="H320" s="844" t="str">
        <f>'Part II-Development Team'!H125</f>
        <v>No</v>
      </c>
      <c r="I320" s="1650">
        <f>'Part II-Development Team'!I125</f>
        <v>0</v>
      </c>
      <c r="J320" s="1650"/>
      <c r="K320" s="1650"/>
      <c r="L320" s="1650"/>
      <c r="M320" s="1650"/>
      <c r="N320" s="1650"/>
      <c r="O320" s="1650"/>
      <c r="P320" s="1650"/>
      <c r="Q320" s="1650"/>
      <c r="R320" s="1650"/>
      <c r="S320" s="1650"/>
    </row>
    <row r="321" spans="1:19">
      <c r="A321" s="840"/>
      <c r="B321" s="840"/>
      <c r="C321" s="888" t="s">
        <v>2125</v>
      </c>
      <c r="D321" s="840" t="s">
        <v>3517</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2708</v>
      </c>
      <c r="D322" s="840" t="s">
        <v>3576</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1302</v>
      </c>
      <c r="D323" s="840" t="s">
        <v>3518</v>
      </c>
      <c r="E323" s="840"/>
      <c r="F323" s="840"/>
      <c r="G323" s="840"/>
      <c r="H323" s="844" t="str">
        <f>'Part II-Development Team'!H128</f>
        <v>No</v>
      </c>
      <c r="I323" s="1650">
        <f>'Part II-Development Team'!I128</f>
        <v>0</v>
      </c>
      <c r="J323" s="1650"/>
      <c r="K323" s="1650"/>
      <c r="L323" s="1650"/>
      <c r="M323" s="1650"/>
      <c r="N323" s="1650"/>
      <c r="O323" s="1650"/>
      <c r="P323" s="1650"/>
      <c r="Q323" s="1650"/>
      <c r="R323" s="1650"/>
      <c r="S323" s="1650"/>
    </row>
    <row r="324" spans="1:19">
      <c r="A324" s="840"/>
      <c r="B324" s="840"/>
      <c r="C324" s="888" t="s">
        <v>1303</v>
      </c>
      <c r="D324" s="840" t="s">
        <v>3519</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2015</v>
      </c>
      <c r="D325" s="840" t="s">
        <v>3387</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536</v>
      </c>
      <c r="D326" s="840" t="s">
        <v>3389</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537</v>
      </c>
      <c r="D327" s="840" t="s">
        <v>1711</v>
      </c>
      <c r="E327" s="840"/>
      <c r="F327" s="840"/>
      <c r="G327" s="840"/>
      <c r="H327" s="844" t="str">
        <f>'Part II-Development Team'!H132</f>
        <v>No</v>
      </c>
      <c r="I327" s="1650">
        <f>'Part II-Development Team'!I132</f>
        <v>0</v>
      </c>
      <c r="J327" s="1650"/>
      <c r="K327" s="1650"/>
      <c r="L327" s="1650"/>
      <c r="M327" s="1650"/>
      <c r="N327" s="1650"/>
      <c r="O327" s="1650"/>
      <c r="P327" s="1650"/>
      <c r="Q327" s="1650"/>
      <c r="R327" s="1650"/>
      <c r="S327" s="1650"/>
    </row>
    <row r="328" spans="1:19">
      <c r="A328" s="843" t="s">
        <v>1917</v>
      </c>
      <c r="B328" s="843" t="s">
        <v>3653</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2122</v>
      </c>
      <c r="C330" s="843" t="s">
        <v>3390</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682</v>
      </c>
      <c r="B332" s="1628"/>
      <c r="C332" s="1628"/>
      <c r="D332" s="1628"/>
      <c r="E332" s="1628"/>
      <c r="F332" s="1655" t="s">
        <v>3570</v>
      </c>
      <c r="G332" s="1655"/>
      <c r="H332" s="1656" t="s">
        <v>3654</v>
      </c>
      <c r="I332" s="1656"/>
      <c r="J332" s="1656"/>
      <c r="K332" s="1656"/>
      <c r="L332" s="1657" t="s">
        <v>3655</v>
      </c>
      <c r="M332" s="1657"/>
      <c r="N332" s="1657"/>
      <c r="O332" s="1657"/>
      <c r="P332" s="1657" t="s">
        <v>3656</v>
      </c>
      <c r="Q332" s="1594"/>
      <c r="R332" s="1657" t="s">
        <v>3657</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3561</v>
      </c>
      <c r="B337" s="1623"/>
      <c r="C337" s="1623"/>
      <c r="D337" s="1623"/>
      <c r="E337" s="1623"/>
      <c r="F337" s="1628" t="str">
        <f>'Part II-Development Team'!F142</f>
        <v>Yes</v>
      </c>
      <c r="G337" s="1628"/>
      <c r="H337" s="1628" t="str">
        <f>'Part II-Development Team'!H142</f>
        <v>No</v>
      </c>
      <c r="I337" s="1628"/>
      <c r="J337" s="1628"/>
      <c r="K337" s="1628"/>
      <c r="L337" s="1628" t="str">
        <f>'Part II-Development Team'!L142</f>
        <v>No</v>
      </c>
      <c r="M337" s="1628"/>
      <c r="N337" s="1628"/>
      <c r="O337" s="1628"/>
      <c r="P337" s="1647" t="str">
        <f>'Part II-Development Team'!P142</f>
        <v>For Profit</v>
      </c>
      <c r="Q337" s="1647"/>
      <c r="R337" s="1648">
        <f>'Part II-Development Team'!R142</f>
        <v>0</v>
      </c>
      <c r="S337" s="1649"/>
    </row>
    <row r="338" spans="1:19">
      <c r="A338" s="1623" t="s">
        <v>3562</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3563</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801</v>
      </c>
      <c r="B340" s="1623"/>
      <c r="C340" s="1623"/>
      <c r="D340" s="1623"/>
      <c r="E340" s="1623"/>
      <c r="F340" s="1628" t="str">
        <f>'Part II-Development Team'!F145</f>
        <v>No</v>
      </c>
      <c r="G340" s="1628"/>
      <c r="H340" s="1628" t="str">
        <f>'Part II-Development Team'!H145</f>
        <v>No</v>
      </c>
      <c r="I340" s="1628"/>
      <c r="J340" s="1628"/>
      <c r="K340" s="1628"/>
      <c r="L340" s="1628" t="str">
        <f>'Part II-Development Team'!L145</f>
        <v>No</v>
      </c>
      <c r="M340" s="1628"/>
      <c r="N340" s="1628"/>
      <c r="O340" s="1628"/>
      <c r="P340" s="1647" t="str">
        <f>'Part II-Development Team'!P145</f>
        <v>For Profit</v>
      </c>
      <c r="Q340" s="1647"/>
      <c r="R340" s="1648">
        <f>'Part II-Development Team'!R145</f>
        <v>0.99</v>
      </c>
      <c r="S340" s="1649"/>
    </row>
    <row r="341" spans="1:19">
      <c r="A341" s="1623" t="s">
        <v>802</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3564</v>
      </c>
      <c r="B342" s="1623"/>
      <c r="C342" s="1623"/>
      <c r="D342" s="1623"/>
      <c r="E342" s="1623"/>
      <c r="F342" s="1628">
        <f>'Part II-Development Team'!F147</f>
        <v>0</v>
      </c>
      <c r="G342" s="1628"/>
      <c r="H342" s="1628">
        <f>'Part II-Development Team'!H147</f>
        <v>0</v>
      </c>
      <c r="I342" s="1628"/>
      <c r="J342" s="1628"/>
      <c r="K342" s="1628"/>
      <c r="L342" s="1628">
        <f>'Part II-Development Team'!L147</f>
        <v>0</v>
      </c>
      <c r="M342" s="1628"/>
      <c r="N342" s="1628"/>
      <c r="O342" s="1628"/>
      <c r="P342" s="1647">
        <f>'Part II-Development Team'!P147</f>
        <v>0</v>
      </c>
      <c r="Q342" s="1647"/>
      <c r="R342" s="1648">
        <f>'Part II-Development Team'!R147</f>
        <v>0</v>
      </c>
      <c r="S342" s="1649"/>
    </row>
    <row r="343" spans="1:19">
      <c r="A343" s="1623" t="s">
        <v>699</v>
      </c>
      <c r="B343" s="1623"/>
      <c r="C343" s="1623"/>
      <c r="D343" s="1623"/>
      <c r="E343" s="1623"/>
      <c r="F343" s="1628" t="str">
        <f>'Part II-Development Team'!F148</f>
        <v>Yes</v>
      </c>
      <c r="G343" s="1628"/>
      <c r="H343" s="1628" t="str">
        <f>'Part II-Development Team'!H148</f>
        <v>No</v>
      </c>
      <c r="I343" s="1628"/>
      <c r="J343" s="1628"/>
      <c r="K343" s="1628"/>
      <c r="L343" s="1628" t="str">
        <f>'Part II-Development Team'!L148</f>
        <v>No</v>
      </c>
      <c r="M343" s="1628"/>
      <c r="N343" s="1628"/>
      <c r="O343" s="1628"/>
      <c r="P343" s="1647" t="str">
        <f>'Part II-Development Team'!P148</f>
        <v>For Profit</v>
      </c>
      <c r="Q343" s="1647"/>
      <c r="R343" s="1648">
        <f>'Part II-Development Team'!R148</f>
        <v>0</v>
      </c>
      <c r="S343" s="1649"/>
    </row>
    <row r="344" spans="1:19">
      <c r="A344" s="1623" t="s">
        <v>3565</v>
      </c>
      <c r="B344" s="1623"/>
      <c r="C344" s="1623"/>
      <c r="D344" s="1623"/>
      <c r="E344" s="1623"/>
      <c r="F344" s="1628">
        <f>'Part II-Development Team'!F149</f>
        <v>0</v>
      </c>
      <c r="G344" s="1628"/>
      <c r="H344" s="1628">
        <f>'Part II-Development Team'!H149</f>
        <v>0</v>
      </c>
      <c r="I344" s="1628"/>
      <c r="J344" s="1628"/>
      <c r="K344" s="1628"/>
      <c r="L344" s="1628">
        <f>'Part II-Development Team'!L149</f>
        <v>0</v>
      </c>
      <c r="M344" s="1628"/>
      <c r="N344" s="1628"/>
      <c r="O344" s="1628"/>
      <c r="P344" s="1647">
        <f>'Part II-Development Team'!P149</f>
        <v>0</v>
      </c>
      <c r="Q344" s="1647"/>
      <c r="R344" s="1648">
        <f>'Part II-Development Team'!R149</f>
        <v>0</v>
      </c>
      <c r="S344" s="1649"/>
    </row>
    <row r="345" spans="1:19">
      <c r="A345" s="1623" t="s">
        <v>3566</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3568</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3567</v>
      </c>
      <c r="B347" s="1623"/>
      <c r="C347" s="1623"/>
      <c r="D347" s="1623"/>
      <c r="E347" s="1623"/>
      <c r="F347" s="1628">
        <f>'Part II-Development Team'!F152</f>
        <v>0</v>
      </c>
      <c r="G347" s="1628"/>
      <c r="H347" s="1628">
        <f>'Part II-Development Team'!H152</f>
        <v>0</v>
      </c>
      <c r="I347" s="1628"/>
      <c r="J347" s="1628"/>
      <c r="K347" s="1628"/>
      <c r="L347" s="1628">
        <f>'Part II-Development Team'!L152</f>
        <v>0</v>
      </c>
      <c r="M347" s="1628"/>
      <c r="N347" s="1628"/>
      <c r="O347" s="1628"/>
      <c r="P347" s="1647">
        <f>'Part II-Development Team'!P152</f>
        <v>0</v>
      </c>
      <c r="Q347" s="1647"/>
      <c r="R347" s="1648">
        <f>'Part II-Development Team'!R152</f>
        <v>0</v>
      </c>
      <c r="S347" s="1649"/>
    </row>
    <row r="348" spans="1:19">
      <c r="A348" s="1623" t="s">
        <v>1636</v>
      </c>
      <c r="B348" s="1623"/>
      <c r="C348" s="1623"/>
      <c r="D348" s="1623"/>
      <c r="E348" s="1623"/>
      <c r="F348" s="1628" t="str">
        <f>'Part II-Development Team'!F153</f>
        <v>Yes</v>
      </c>
      <c r="G348" s="1628"/>
      <c r="H348" s="1628" t="str">
        <f>'Part II-Development Team'!H153</f>
        <v>No</v>
      </c>
      <c r="I348" s="1628"/>
      <c r="J348" s="1628"/>
      <c r="K348" s="1628"/>
      <c r="L348" s="1628" t="str">
        <f>'Part II-Development Team'!L153</f>
        <v>No</v>
      </c>
      <c r="M348" s="1628"/>
      <c r="N348" s="1628"/>
      <c r="O348" s="1628"/>
      <c r="P348" s="1647" t="str">
        <f>'Part II-Development Team'!P153</f>
        <v>For Profit</v>
      </c>
      <c r="Q348" s="1647"/>
      <c r="R348" s="1648">
        <f>'Part II-Development Team'!R153</f>
        <v>0</v>
      </c>
      <c r="S348" s="1649"/>
    </row>
    <row r="349" spans="1:19">
      <c r="A349" s="1623" t="s">
        <v>3569</v>
      </c>
      <c r="B349" s="1623"/>
      <c r="C349" s="1623"/>
      <c r="D349" s="1623"/>
      <c r="E349" s="1623"/>
      <c r="F349" s="1628" t="str">
        <f>'Part II-Development Team'!F154</f>
        <v>Yes</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573</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1919</v>
      </c>
      <c r="B352" s="870"/>
      <c r="C352" s="866" t="s">
        <v>609</v>
      </c>
      <c r="D352" s="845"/>
      <c r="E352" s="845"/>
      <c r="F352" s="845"/>
      <c r="G352" s="845"/>
      <c r="H352" s="845"/>
      <c r="I352" s="845"/>
      <c r="J352" s="845"/>
      <c r="K352" s="845"/>
      <c r="L352" s="845"/>
      <c r="M352" s="845"/>
      <c r="N352" s="866" t="s">
        <v>564</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f>'Part II-Development Team'!A159</f>
        <v>0</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2014-051 Macon Gardens, Macon, Bibb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658</v>
      </c>
      <c r="B359" s="866" t="s">
        <v>2660</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t="str">
        <f>'Part III-Sources of Funds'!H4</f>
        <v>No</v>
      </c>
      <c r="I360" s="847" t="s">
        <v>3233</v>
      </c>
      <c r="J360" s="840"/>
      <c r="K360" s="884"/>
      <c r="L360" s="884"/>
      <c r="M360" s="884"/>
      <c r="N360" s="884"/>
      <c r="O360" s="884"/>
      <c r="P360" s="1651">
        <f>'Part III-Sources of Funds'!P4</f>
        <v>0</v>
      </c>
      <c r="Q360" s="1594"/>
    </row>
    <row r="361" spans="1:19" ht="13.5">
      <c r="A361" s="839"/>
      <c r="B361" s="844" t="str">
        <f>'Part III-Sources of Funds'!B5</f>
        <v>Yes</v>
      </c>
      <c r="C361" s="847" t="s">
        <v>2574</v>
      </c>
      <c r="D361" s="840"/>
      <c r="E361" s="844" t="str">
        <f>'Part III-Sources of Funds'!E5</f>
        <v>No</v>
      </c>
      <c r="F361" s="847" t="s">
        <v>585</v>
      </c>
      <c r="G361" s="884"/>
      <c r="H361" s="844" t="str">
        <f>'Part III-Sources of Funds'!H5</f>
        <v>No</v>
      </c>
      <c r="I361" s="840" t="s">
        <v>2794</v>
      </c>
      <c r="J361" s="884"/>
      <c r="K361" s="884"/>
      <c r="L361" s="884"/>
      <c r="M361" s="844" t="str">
        <f>'Part III-Sources of Funds'!M5</f>
        <v>Yes</v>
      </c>
      <c r="N361" s="847" t="s">
        <v>583</v>
      </c>
      <c r="O361" s="884"/>
      <c r="P361" s="884"/>
      <c r="Q361" s="884"/>
    </row>
    <row r="362" spans="1:19" ht="13.5">
      <c r="A362" s="839"/>
      <c r="B362" s="844" t="str">
        <f>'Part III-Sources of Funds'!B6</f>
        <v>No</v>
      </c>
      <c r="C362" s="847" t="s">
        <v>1929</v>
      </c>
      <c r="D362" s="840"/>
      <c r="E362" s="844" t="str">
        <f>'Part III-Sources of Funds'!E6</f>
        <v>No</v>
      </c>
      <c r="F362" s="840" t="s">
        <v>2792</v>
      </c>
      <c r="G362" s="884"/>
      <c r="H362" s="844" t="str">
        <f>'Part III-Sources of Funds'!H6</f>
        <v>No</v>
      </c>
      <c r="I362" s="847" t="s">
        <v>3251</v>
      </c>
      <c r="J362" s="847"/>
      <c r="K362" s="842"/>
      <c r="L362" s="842"/>
      <c r="M362" s="844" t="str">
        <f>'Part III-Sources of Funds'!M6</f>
        <v>Yes</v>
      </c>
      <c r="N362" s="847" t="s">
        <v>2793</v>
      </c>
      <c r="O362" s="884"/>
      <c r="P362" s="884"/>
      <c r="Q362" s="877"/>
    </row>
    <row r="363" spans="1:19" ht="13.5">
      <c r="A363" s="840"/>
      <c r="B363" s="844" t="str">
        <f>'Part III-Sources of Funds'!B7</f>
        <v>No</v>
      </c>
      <c r="C363" s="847" t="s">
        <v>1930</v>
      </c>
      <c r="D363" s="884"/>
      <c r="E363" s="844" t="str">
        <f>'Part III-Sources of Funds'!E7</f>
        <v>No</v>
      </c>
      <c r="F363" s="867" t="s">
        <v>2342</v>
      </c>
      <c r="G363" s="840"/>
      <c r="H363" s="844" t="str">
        <f>'Part III-Sources of Funds'!H7</f>
        <v>No</v>
      </c>
      <c r="I363" s="847" t="s">
        <v>1645</v>
      </c>
      <c r="J363" s="842"/>
      <c r="K363" s="884"/>
      <c r="L363" s="884"/>
      <c r="M363" s="844" t="str">
        <f>'Part III-Sources of Funds'!M7</f>
        <v>No</v>
      </c>
      <c r="N363" s="847" t="s">
        <v>3232</v>
      </c>
      <c r="O363" s="884"/>
      <c r="P363" s="1652">
        <f>'Part III-Sources of Funds'!P7</f>
        <v>0</v>
      </c>
      <c r="Q363" s="1652"/>
    </row>
    <row r="364" spans="1:19" ht="13.5">
      <c r="A364" s="839"/>
      <c r="B364" s="844" t="str">
        <f>'Part III-Sources of Funds'!B8</f>
        <v>No</v>
      </c>
      <c r="C364" s="840" t="s">
        <v>2784</v>
      </c>
      <c r="D364" s="840"/>
      <c r="E364" s="844" t="str">
        <f>'Part III-Sources of Funds'!E8</f>
        <v>No</v>
      </c>
      <c r="F364" s="869" t="s">
        <v>2785</v>
      </c>
      <c r="G364" s="884"/>
      <c r="H364" s="844" t="str">
        <f>'Part III-Sources of Funds'!H8</f>
        <v>No</v>
      </c>
      <c r="I364" s="847" t="s">
        <v>584</v>
      </c>
      <c r="J364" s="842"/>
      <c r="K364" s="847"/>
      <c r="L364" s="847"/>
      <c r="M364" s="844" t="str">
        <f>'Part III-Sources of Funds'!M8</f>
        <v>Yes</v>
      </c>
      <c r="N364" s="1623" t="str">
        <f>'Part III-Sources of Funds'!N8</f>
        <v>Macon Bibb County Loan</v>
      </c>
      <c r="O364" s="1623"/>
      <c r="P364" s="1623"/>
      <c r="Q364" s="1623"/>
    </row>
    <row r="365" spans="1:19" ht="13.5">
      <c r="A365" s="839"/>
      <c r="B365" s="884" t="s">
        <v>3147</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791</v>
      </c>
      <c r="B367" s="841" t="s">
        <v>2497</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2002</v>
      </c>
      <c r="C369" s="840"/>
      <c r="D369" s="840"/>
      <c r="E369" s="840"/>
      <c r="F369" s="840"/>
      <c r="G369" s="840"/>
      <c r="H369" s="1623" t="s">
        <v>1384</v>
      </c>
      <c r="I369" s="1623"/>
      <c r="J369" s="1623"/>
      <c r="K369" s="1623"/>
      <c r="L369" s="1628" t="s">
        <v>2127</v>
      </c>
      <c r="M369" s="1628"/>
      <c r="N369" s="1628" t="s">
        <v>1614</v>
      </c>
      <c r="O369" s="1628"/>
      <c r="P369" s="1628" t="s">
        <v>1742</v>
      </c>
      <c r="Q369" s="1628"/>
    </row>
    <row r="370" spans="1:17">
      <c r="A370" s="840"/>
      <c r="B370" s="1659" t="s">
        <v>1700</v>
      </c>
      <c r="C370" s="1659"/>
      <c r="D370" s="1659"/>
      <c r="E370" s="840"/>
      <c r="F370" s="840"/>
      <c r="G370" s="840"/>
      <c r="H370" s="1623" t="str">
        <f>'Part III-Sources of Funds'!H14</f>
        <v>Chase</v>
      </c>
      <c r="I370" s="1623"/>
      <c r="J370" s="1623"/>
      <c r="K370" s="1623"/>
      <c r="L370" s="1660">
        <f>'Part III-Sources of Funds'!L14</f>
        <v>6200000</v>
      </c>
      <c r="M370" s="1660"/>
      <c r="N370" s="1661">
        <f>'Part III-Sources of Funds'!N14</f>
        <v>3.15E-2</v>
      </c>
      <c r="O370" s="1661"/>
      <c r="P370" s="1662">
        <f>'Part III-Sources of Funds'!P14</f>
        <v>24</v>
      </c>
      <c r="Q370" s="1662"/>
    </row>
    <row r="371" spans="1:17">
      <c r="A371" s="840"/>
      <c r="B371" s="1659" t="s">
        <v>1701</v>
      </c>
      <c r="C371" s="1659"/>
      <c r="D371" s="1659"/>
      <c r="E371" s="840"/>
      <c r="F371" s="840"/>
      <c r="G371" s="840"/>
      <c r="H371" s="1623">
        <f>'Part III-Sources of Funds'!H15</f>
        <v>0</v>
      </c>
      <c r="I371" s="1623"/>
      <c r="J371" s="1623"/>
      <c r="K371" s="1623"/>
      <c r="L371" s="1660">
        <f>'Part III-Sources of Funds'!L15</f>
        <v>0</v>
      </c>
      <c r="M371" s="1660"/>
      <c r="N371" s="1661">
        <f>'Part III-Sources of Funds'!N15</f>
        <v>0</v>
      </c>
      <c r="O371" s="1661"/>
      <c r="P371" s="1662">
        <f>'Part III-Sources of Funds'!P15</f>
        <v>0</v>
      </c>
      <c r="Q371" s="1662"/>
    </row>
    <row r="372" spans="1:17">
      <c r="A372" s="840"/>
      <c r="B372" s="1659" t="s">
        <v>1702</v>
      </c>
      <c r="C372" s="1659"/>
      <c r="D372" s="1659"/>
      <c r="E372" s="840"/>
      <c r="F372" s="840"/>
      <c r="G372" s="840"/>
      <c r="H372" s="1623" t="str">
        <f>'Part III-Sources of Funds'!H16</f>
        <v>Macon-Bibb County</v>
      </c>
      <c r="I372" s="1623"/>
      <c r="J372" s="1623"/>
      <c r="K372" s="1623"/>
      <c r="L372" s="1660">
        <f>'Part III-Sources of Funds'!L16</f>
        <v>250000</v>
      </c>
      <c r="M372" s="1660"/>
      <c r="N372" s="1661">
        <f>'Part III-Sources of Funds'!N16</f>
        <v>0.01</v>
      </c>
      <c r="O372" s="1661"/>
      <c r="P372" s="1662">
        <f>'Part III-Sources of Funds'!P16</f>
        <v>0</v>
      </c>
      <c r="Q372" s="1662"/>
    </row>
    <row r="373" spans="1:17">
      <c r="A373" s="840"/>
      <c r="B373" s="1659" t="s">
        <v>2360</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856</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683</v>
      </c>
      <c r="C375" s="1659"/>
      <c r="D375" s="1659"/>
      <c r="E375" s="840"/>
      <c r="F375" s="884"/>
      <c r="G375" s="884"/>
      <c r="H375" s="1623" t="str">
        <f>'Part III-Sources of Funds'!H19</f>
        <v>The Benoit Group</v>
      </c>
      <c r="I375" s="1623"/>
      <c r="J375" s="1623"/>
      <c r="K375" s="1623"/>
      <c r="L375" s="1660">
        <f>'Part III-Sources of Funds'!L19</f>
        <v>0</v>
      </c>
      <c r="M375" s="1660"/>
      <c r="N375" s="1663"/>
      <c r="O375" s="1663"/>
      <c r="P375" s="1628"/>
      <c r="Q375" s="1628"/>
    </row>
    <row r="376" spans="1:17" ht="13.5">
      <c r="A376" s="840"/>
      <c r="B376" s="1659" t="s">
        <v>857</v>
      </c>
      <c r="C376" s="1659"/>
      <c r="D376" s="1659"/>
      <c r="E376" s="840"/>
      <c r="F376" s="884"/>
      <c r="G376" s="884"/>
      <c r="H376" s="1623" t="str">
        <f>'Part III-Sources of Funds'!H20</f>
        <v>Raymond James</v>
      </c>
      <c r="I376" s="1623"/>
      <c r="J376" s="1623"/>
      <c r="K376" s="1623"/>
      <c r="L376" s="1660">
        <f>'Part III-Sources of Funds'!L20</f>
        <v>2707029</v>
      </c>
      <c r="M376" s="1660"/>
      <c r="N376" s="840"/>
      <c r="O376" s="840"/>
      <c r="P376" s="840"/>
      <c r="Q376" s="840"/>
    </row>
    <row r="377" spans="1:17" ht="13.5">
      <c r="A377" s="840"/>
      <c r="B377" s="1659" t="s">
        <v>858</v>
      </c>
      <c r="C377" s="1659"/>
      <c r="D377" s="1659"/>
      <c r="E377" s="840"/>
      <c r="F377" s="884"/>
      <c r="G377" s="884"/>
      <c r="H377" s="1623" t="str">
        <f>'Part III-Sources of Funds'!H21</f>
        <v>Raymond James</v>
      </c>
      <c r="I377" s="1623"/>
      <c r="J377" s="1623"/>
      <c r="K377" s="1623"/>
      <c r="L377" s="1660">
        <f>'Part III-Sources of Funds'!L21</f>
        <v>1182380</v>
      </c>
      <c r="M377" s="1660"/>
      <c r="N377" s="840"/>
      <c r="O377" s="840"/>
      <c r="P377" s="840"/>
      <c r="Q377" s="840"/>
    </row>
    <row r="378" spans="1:17">
      <c r="A378" s="840"/>
      <c r="B378" s="840" t="s">
        <v>256</v>
      </c>
      <c r="C378" s="840"/>
      <c r="D378" s="1623">
        <f>'Part III-Sources of Funds'!D22</f>
        <v>0</v>
      </c>
      <c r="E378" s="1623"/>
      <c r="F378" s="1623"/>
      <c r="G378" s="1623"/>
      <c r="H378" s="1623">
        <f>'Part III-Sources of Funds'!H22</f>
        <v>0</v>
      </c>
      <c r="I378" s="1623"/>
      <c r="J378" s="1623"/>
      <c r="K378" s="1623"/>
      <c r="L378" s="1660">
        <f>'Part III-Sources of Funds'!L22</f>
        <v>0</v>
      </c>
      <c r="M378" s="1660"/>
      <c r="N378" s="840"/>
      <c r="O378" s="840"/>
      <c r="P378" s="840"/>
      <c r="Q378" s="840"/>
    </row>
    <row r="379" spans="1:17">
      <c r="A379" s="840"/>
      <c r="B379" s="840" t="s">
        <v>256</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256</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1385</v>
      </c>
      <c r="C381" s="840"/>
      <c r="D381" s="840"/>
      <c r="E381" s="840"/>
      <c r="F381" s="840"/>
      <c r="G381" s="840"/>
      <c r="H381" s="840"/>
      <c r="I381" s="840"/>
      <c r="J381" s="884"/>
      <c r="K381" s="884"/>
      <c r="L381" s="1666">
        <f>SUM(L370:L380)</f>
        <v>10339409</v>
      </c>
      <c r="M381" s="1666"/>
      <c r="N381" s="845"/>
      <c r="O381" s="845"/>
      <c r="P381" s="845"/>
      <c r="Q381" s="845"/>
    </row>
    <row r="382" spans="1:17" ht="13.5">
      <c r="A382" s="840"/>
      <c r="B382" s="847" t="s">
        <v>1386</v>
      </c>
      <c r="C382" s="840"/>
      <c r="D382" s="840"/>
      <c r="E382" s="840"/>
      <c r="F382" s="840"/>
      <c r="G382" s="840"/>
      <c r="H382" s="840"/>
      <c r="I382" s="840"/>
      <c r="J382" s="884"/>
      <c r="K382" s="884"/>
      <c r="L382" s="1666">
        <f>'Part III-Sources of Funds'!L26</f>
        <v>10339409.279999999</v>
      </c>
      <c r="M382" s="1666"/>
      <c r="N382" s="1667"/>
      <c r="O382" s="1667"/>
      <c r="P382" s="1667"/>
      <c r="Q382" s="1667"/>
    </row>
    <row r="383" spans="1:17" ht="13.5">
      <c r="A383" s="840"/>
      <c r="B383" s="847" t="s">
        <v>2296</v>
      </c>
      <c r="C383" s="840"/>
      <c r="D383" s="840"/>
      <c r="E383" s="840"/>
      <c r="F383" s="840"/>
      <c r="G383" s="840"/>
      <c r="H383" s="840"/>
      <c r="I383" s="840"/>
      <c r="J383" s="884"/>
      <c r="K383" s="884"/>
      <c r="L383" s="1668">
        <f>L381-L382</f>
        <v>-0.27999999932944775</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793</v>
      </c>
      <c r="B385" s="841" t="s">
        <v>855</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2238</v>
      </c>
      <c r="K386" s="844" t="s">
        <v>1382</v>
      </c>
      <c r="L386" s="844" t="s">
        <v>1387</v>
      </c>
      <c r="M386" s="1638" t="s">
        <v>36</v>
      </c>
      <c r="N386" s="1638"/>
      <c r="O386" s="844"/>
      <c r="P386" s="844"/>
      <c r="Q386" s="1669" t="s">
        <v>2494</v>
      </c>
    </row>
    <row r="387" spans="1:17">
      <c r="A387" s="840"/>
      <c r="B387" s="847" t="s">
        <v>2002</v>
      </c>
      <c r="C387" s="840"/>
      <c r="D387" s="840"/>
      <c r="E387" s="1659" t="s">
        <v>1384</v>
      </c>
      <c r="F387" s="1659"/>
      <c r="G387" s="1659"/>
      <c r="H387" s="1628" t="s">
        <v>520</v>
      </c>
      <c r="I387" s="1628"/>
      <c r="J387" s="844" t="s">
        <v>1934</v>
      </c>
      <c r="K387" s="844" t="s">
        <v>2359</v>
      </c>
      <c r="L387" s="844" t="s">
        <v>2359</v>
      </c>
      <c r="M387" s="1638"/>
      <c r="N387" s="1638"/>
      <c r="O387" s="1628" t="s">
        <v>77</v>
      </c>
      <c r="P387" s="1628"/>
      <c r="Q387" s="1669"/>
    </row>
    <row r="388" spans="1:17">
      <c r="A388" s="840"/>
      <c r="B388" s="1659" t="s">
        <v>2799</v>
      </c>
      <c r="C388" s="1659"/>
      <c r="D388" s="1659"/>
      <c r="E388" s="1623" t="str">
        <f>'Part III-Sources of Funds'!E32</f>
        <v>Chase</v>
      </c>
      <c r="F388" s="1659"/>
      <c r="G388" s="1659"/>
      <c r="H388" s="1664">
        <f>'Part III-Sources of Funds'!H32</f>
        <v>3176000</v>
      </c>
      <c r="I388" s="1659"/>
      <c r="J388" s="891">
        <f>'Part III-Sources of Funds'!J32</f>
        <v>0.06</v>
      </c>
      <c r="K388" s="844">
        <f>'Part III-Sources of Funds'!K32</f>
        <v>18</v>
      </c>
      <c r="L388" s="844">
        <f>'Part III-Sources of Funds'!L32</f>
        <v>30</v>
      </c>
      <c r="M388" s="1665">
        <f>'Part III-Sources of Funds'!M32</f>
        <v>228500.69614621694</v>
      </c>
      <c r="N388" s="1665"/>
      <c r="O388" s="1628" t="str">
        <f>'Part III-Sources of Funds'!O32</f>
        <v>Amortizing</v>
      </c>
      <c r="P388" s="1628"/>
      <c r="Q388" s="892">
        <f>'Part III-Sources of Funds'!Q32</f>
        <v>0</v>
      </c>
    </row>
    <row r="389" spans="1:17">
      <c r="A389" s="840"/>
      <c r="B389" s="1659" t="s">
        <v>2800</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2801</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792</v>
      </c>
      <c r="C391" s="1623" t="str">
        <f>'Part III-Sources of Funds'!C35</f>
        <v>Macon Bibb County</v>
      </c>
      <c r="D391" s="1623"/>
      <c r="E391" s="1623" t="str">
        <f>'Part III-Sources of Funds'!E35</f>
        <v>Macon-Bibb County</v>
      </c>
      <c r="F391" s="1659"/>
      <c r="G391" s="1659"/>
      <c r="H391" s="1664">
        <f>'Part III-Sources of Funds'!H35</f>
        <v>250000</v>
      </c>
      <c r="I391" s="1659"/>
      <c r="J391" s="891">
        <f>'Part III-Sources of Funds'!J35</f>
        <v>0.01</v>
      </c>
      <c r="K391" s="844">
        <f>'Part III-Sources of Funds'!K35</f>
        <v>30</v>
      </c>
      <c r="L391" s="844">
        <f>'Part III-Sources of Funds'!L35</f>
        <v>30</v>
      </c>
      <c r="M391" s="1665">
        <f>'Part III-Sources of Funds'!M35</f>
        <v>9649.1856133941019</v>
      </c>
      <c r="N391" s="1665"/>
      <c r="O391" s="1628" t="str">
        <f>'Part III-Sources of Funds'!O35</f>
        <v>Amortizing</v>
      </c>
      <c r="P391" s="1628"/>
      <c r="Q391" s="892">
        <f>'Part III-Sources of Funds'!Q35</f>
        <v>0</v>
      </c>
    </row>
    <row r="392" spans="1:17">
      <c r="A392" s="840"/>
      <c r="B392" s="840" t="s">
        <v>3023</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240</v>
      </c>
      <c r="C393" s="840"/>
      <c r="D393" s="893">
        <f>IF(OR(H393="",H393=0,'Part IV-Uses of Funds'!$G$116="",'Part IV-Uses of Funds'!$G$116=0),"",H393/'Part IV-Uses of Funds'!$G$116)</f>
        <v>3.3224442896026649E-2</v>
      </c>
      <c r="E393" s="1623" t="str">
        <f>'Part III-Sources of Funds'!E37</f>
        <v>The Benoit Group</v>
      </c>
      <c r="F393" s="1659"/>
      <c r="G393" s="1659"/>
      <c r="H393" s="1664">
        <f>'Part III-Sources of Funds'!H37</f>
        <v>55979</v>
      </c>
      <c r="I393" s="1659"/>
      <c r="J393" s="891">
        <f>'Part III-Sources of Funds'!J37</f>
        <v>0</v>
      </c>
      <c r="K393" s="844">
        <f>'Part III-Sources of Funds'!K37</f>
        <v>0</v>
      </c>
      <c r="L393" s="844">
        <f>'Part III-Sources of Funds'!L37</f>
        <v>0</v>
      </c>
      <c r="M393" s="1665" t="str">
        <f>'Part III-Sources of Funds'!M37</f>
        <v/>
      </c>
      <c r="N393" s="1665"/>
      <c r="O393" s="1628">
        <f>'Part III-Sources of Funds'!O37</f>
        <v>0</v>
      </c>
      <c r="P393" s="1628"/>
      <c r="Q393" s="892">
        <f>'Part III-Sources of Funds'!Q37</f>
        <v>0</v>
      </c>
    </row>
    <row r="394" spans="1:17" ht="13.5">
      <c r="A394" s="840"/>
      <c r="B394" s="1659" t="s">
        <v>2360</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856</v>
      </c>
      <c r="C395" s="1659"/>
      <c r="D395" s="1659"/>
      <c r="E395" s="1623">
        <f>'Part III-Sources of Funds'!E39</f>
        <v>0</v>
      </c>
      <c r="F395" s="1659"/>
      <c r="G395" s="1659"/>
      <c r="H395" s="1664">
        <f>'Part III-Sources of Funds'!H39</f>
        <v>0</v>
      </c>
      <c r="I395" s="1659"/>
      <c r="J395" s="1672" t="s">
        <v>551</v>
      </c>
      <c r="K395" s="1672"/>
      <c r="L395" s="1673" t="s">
        <v>552</v>
      </c>
      <c r="M395" s="1673"/>
      <c r="N395" s="884"/>
      <c r="O395" s="844" t="s">
        <v>550</v>
      </c>
      <c r="P395" s="894"/>
      <c r="Q395" s="840"/>
    </row>
    <row r="396" spans="1:17" ht="13.5">
      <c r="A396" s="840"/>
      <c r="B396" s="1659" t="s">
        <v>857</v>
      </c>
      <c r="C396" s="1659"/>
      <c r="D396" s="1659"/>
      <c r="E396" s="1623" t="str">
        <f>'Part III-Sources of Funds'!E40</f>
        <v>Raymond James</v>
      </c>
      <c r="F396" s="1659"/>
      <c r="G396" s="1659"/>
      <c r="H396" s="1664">
        <f>'Part III-Sources of Funds'!H40</f>
        <v>6953185</v>
      </c>
      <c r="I396" s="1659"/>
      <c r="J396" s="1670">
        <f>'Part IV-Uses of Funds'!$J$173*10*'Part IV-Uses of Funds'!$N$166</f>
        <v>6953879.5499999998</v>
      </c>
      <c r="K396" s="1670"/>
      <c r="L396" s="1671">
        <f>H396-J396</f>
        <v>-694.54999999981374</v>
      </c>
      <c r="M396" s="1671"/>
      <c r="N396" s="884"/>
      <c r="O396" s="895" t="s">
        <v>2743</v>
      </c>
      <c r="P396" s="894"/>
      <c r="Q396" s="840"/>
    </row>
    <row r="397" spans="1:17" ht="13.5">
      <c r="A397" s="840"/>
      <c r="B397" s="1659" t="s">
        <v>858</v>
      </c>
      <c r="C397" s="1659"/>
      <c r="D397" s="1659"/>
      <c r="E397" s="1623" t="str">
        <f>'Part III-Sources of Funds'!E41</f>
        <v>Raymond James</v>
      </c>
      <c r="F397" s="1659"/>
      <c r="G397" s="1659"/>
      <c r="H397" s="1664">
        <f>'Part III-Sources of Funds'!H41</f>
        <v>3037327</v>
      </c>
      <c r="I397" s="1659"/>
      <c r="J397" s="1670">
        <f>'Part IV-Uses of Funds'!$J$173*10*'Part IV-Uses of Funds'!$Q$166</f>
        <v>3037326.7</v>
      </c>
      <c r="K397" s="1670"/>
      <c r="L397" s="1671">
        <f>H397-J397</f>
        <v>0.29999999981373549</v>
      </c>
      <c r="M397" s="1671"/>
      <c r="N397" s="884"/>
      <c r="O397" s="896">
        <f>H396/H406</f>
        <v>0.51610240492032733</v>
      </c>
      <c r="P397" s="894"/>
      <c r="Q397" s="840"/>
    </row>
    <row r="398" spans="1:17" ht="13.5">
      <c r="A398" s="840"/>
      <c r="B398" s="1659" t="s">
        <v>1503</v>
      </c>
      <c r="C398" s="1659"/>
      <c r="D398" s="1659"/>
      <c r="E398" s="1623">
        <f>'Part III-Sources of Funds'!E42</f>
        <v>0</v>
      </c>
      <c r="F398" s="1659"/>
      <c r="G398" s="1659"/>
      <c r="H398" s="1664">
        <f>'Part III-Sources of Funds'!H42</f>
        <v>0</v>
      </c>
      <c r="I398" s="1659"/>
      <c r="J398" s="884"/>
      <c r="K398" s="884"/>
      <c r="L398" s="884"/>
      <c r="M398" s="894"/>
      <c r="N398" s="884"/>
      <c r="O398" s="896">
        <f>H397/H406</f>
        <v>0.22544657868724088</v>
      </c>
      <c r="P398" s="894"/>
      <c r="Q398" s="840"/>
    </row>
    <row r="399" spans="1:17" ht="13.5">
      <c r="A399" s="840"/>
      <c r="B399" s="840" t="s">
        <v>565</v>
      </c>
      <c r="C399" s="840"/>
      <c r="D399" s="840"/>
      <c r="E399" s="1623">
        <f>'Part III-Sources of Funds'!E43</f>
        <v>0</v>
      </c>
      <c r="F399" s="1659"/>
      <c r="G399" s="1659"/>
      <c r="H399" s="1664">
        <f>'Part III-Sources of Funds'!H43</f>
        <v>0</v>
      </c>
      <c r="I399" s="1659"/>
      <c r="J399" s="884"/>
      <c r="K399" s="840"/>
      <c r="L399" s="840"/>
      <c r="M399" s="894"/>
      <c r="N399" s="884"/>
      <c r="O399" s="896">
        <f>SUM(O397:O398)</f>
        <v>0.74154898360756816</v>
      </c>
      <c r="P399" s="894"/>
      <c r="Q399" s="840"/>
    </row>
    <row r="400" spans="1:17" ht="13.5">
      <c r="A400" s="840"/>
      <c r="B400" s="840" t="s">
        <v>2000</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2001</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792</v>
      </c>
      <c r="C402" s="1623">
        <f>'Part III-Sources of Funds'!C46</f>
        <v>0</v>
      </c>
      <c r="D402" s="1623"/>
      <c r="E402" s="1623">
        <f>'Part III-Sources of Funds'!E46</f>
        <v>0</v>
      </c>
      <c r="F402" s="1659"/>
      <c r="G402" s="1659"/>
      <c r="H402" s="1664">
        <f>'Part III-Sources of Funds'!H46</f>
        <v>0</v>
      </c>
      <c r="I402" s="1659"/>
      <c r="J402" s="840"/>
      <c r="K402" s="884"/>
      <c r="L402" s="884"/>
      <c r="M402" s="894"/>
      <c r="N402" s="894"/>
      <c r="O402" s="894"/>
      <c r="P402" s="894"/>
      <c r="Q402" s="840"/>
    </row>
    <row r="403" spans="1:20">
      <c r="A403" s="840"/>
      <c r="B403" s="840" t="s">
        <v>792</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792</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2361</v>
      </c>
      <c r="C405" s="840"/>
      <c r="D405" s="840"/>
      <c r="E405" s="840"/>
      <c r="F405" s="840"/>
      <c r="G405" s="840"/>
      <c r="H405" s="1674">
        <f>SUM(H388:I404)</f>
        <v>13472491</v>
      </c>
      <c r="I405" s="1674"/>
      <c r="J405" s="845"/>
      <c r="K405" s="840"/>
      <c r="L405" s="844"/>
      <c r="M405" s="894"/>
      <c r="N405" s="894"/>
      <c r="O405" s="894"/>
      <c r="P405" s="894"/>
      <c r="Q405" s="840"/>
    </row>
    <row r="406" spans="1:20">
      <c r="A406" s="840"/>
      <c r="B406" s="847" t="s">
        <v>2362</v>
      </c>
      <c r="C406" s="840"/>
      <c r="D406" s="840"/>
      <c r="E406" s="840"/>
      <c r="F406" s="840"/>
      <c r="G406" s="840"/>
      <c r="H406" s="1674">
        <f>'Part IV-Uses of Funds'!$G$130</f>
        <v>13472490.989599999</v>
      </c>
      <c r="I406" s="1674"/>
      <c r="J406" s="845"/>
      <c r="K406" s="840"/>
      <c r="L406" s="844"/>
      <c r="M406" s="894"/>
      <c r="N406" s="894"/>
      <c r="O406" s="894"/>
      <c r="P406" s="894"/>
      <c r="Q406" s="840"/>
    </row>
    <row r="407" spans="1:20">
      <c r="A407" s="840"/>
      <c r="B407" s="847" t="s">
        <v>1632</v>
      </c>
      <c r="C407" s="840"/>
      <c r="D407" s="840"/>
      <c r="E407" s="840"/>
      <c r="F407" s="840"/>
      <c r="G407" s="840"/>
      <c r="H407" s="1675">
        <f>H405-H406</f>
        <v>1.0400000959634781E-2</v>
      </c>
      <c r="I407" s="1675"/>
      <c r="J407" s="845"/>
      <c r="K407" s="840"/>
      <c r="L407" s="844"/>
      <c r="M407" s="894"/>
      <c r="N407" s="894"/>
      <c r="O407" s="894"/>
      <c r="P407" s="894"/>
      <c r="Q407" s="840"/>
    </row>
    <row r="408" spans="1:20">
      <c r="A408" s="840" t="s">
        <v>3024</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1917</v>
      </c>
      <c r="B410" s="843" t="s">
        <v>609</v>
      </c>
      <c r="C410" s="845"/>
      <c r="D410" s="845"/>
      <c r="E410" s="845"/>
      <c r="F410" s="845"/>
      <c r="G410" s="845"/>
      <c r="H410" s="845"/>
      <c r="I410" s="845"/>
      <c r="J410" s="845"/>
      <c r="K410" s="843" t="s">
        <v>1917</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f>'Part III-Sources of Funds'!A56</f>
        <v>0</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2014-051 Macon Gardens,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658</v>
      </c>
      <c r="B419" s="900" t="s">
        <v>957</v>
      </c>
      <c r="C419" s="840"/>
      <c r="D419" s="900"/>
      <c r="E419" s="900"/>
      <c r="F419" s="900"/>
      <c r="G419" s="900"/>
      <c r="H419" s="900"/>
      <c r="I419" s="900"/>
      <c r="J419" s="1676" t="s">
        <v>286</v>
      </c>
      <c r="K419" s="1676"/>
      <c r="L419" s="901"/>
      <c r="M419" s="1677" t="s">
        <v>521</v>
      </c>
      <c r="N419" s="1677"/>
      <c r="O419" s="840"/>
      <c r="P419" s="1676" t="s">
        <v>287</v>
      </c>
      <c r="Q419" s="1676"/>
      <c r="R419" s="840"/>
      <c r="S419" s="1676" t="s">
        <v>288</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2137</v>
      </c>
      <c r="C422" s="840"/>
      <c r="D422" s="840"/>
      <c r="E422" s="840"/>
      <c r="F422" s="840"/>
      <c r="G422" s="1660">
        <f>'Part IV-Uses of Funds'!G8</f>
        <v>11000</v>
      </c>
      <c r="H422" s="1660"/>
      <c r="I422" s="840"/>
      <c r="J422" s="1660">
        <f>'Part IV-Uses of Funds'!J8</f>
        <v>0</v>
      </c>
      <c r="K422" s="1660"/>
      <c r="L422" s="855"/>
      <c r="M422" s="1660">
        <f>'Part IV-Uses of Funds'!M8</f>
        <v>0</v>
      </c>
      <c r="N422" s="1660"/>
      <c r="O422" s="840"/>
      <c r="P422" s="1660">
        <f>'Part IV-Uses of Funds'!P8</f>
        <v>11000</v>
      </c>
      <c r="Q422" s="1660"/>
      <c r="R422" s="840"/>
      <c r="S422" s="1660">
        <f>'Part IV-Uses of Funds'!S8</f>
        <v>0</v>
      </c>
      <c r="T422" s="1660"/>
    </row>
    <row r="423" spans="1:20">
      <c r="A423" s="840"/>
      <c r="B423" s="840" t="s">
        <v>482</v>
      </c>
      <c r="C423" s="840"/>
      <c r="D423" s="840"/>
      <c r="E423" s="840"/>
      <c r="F423" s="840"/>
      <c r="G423" s="1660">
        <f>'Part IV-Uses of Funds'!G9</f>
        <v>13200</v>
      </c>
      <c r="H423" s="1660"/>
      <c r="I423" s="840"/>
      <c r="J423" s="1660">
        <f>'Part IV-Uses of Funds'!J9</f>
        <v>0</v>
      </c>
      <c r="K423" s="1660"/>
      <c r="L423" s="855"/>
      <c r="M423" s="1660">
        <f>'Part IV-Uses of Funds'!M9</f>
        <v>0</v>
      </c>
      <c r="N423" s="1660"/>
      <c r="O423" s="840"/>
      <c r="P423" s="1660">
        <f>'Part IV-Uses of Funds'!P9</f>
        <v>13200</v>
      </c>
      <c r="Q423" s="1660"/>
      <c r="R423" s="840"/>
      <c r="S423" s="1660">
        <f>'Part IV-Uses of Funds'!S9</f>
        <v>0</v>
      </c>
      <c r="T423" s="1660"/>
    </row>
    <row r="424" spans="1:20">
      <c r="A424" s="840"/>
      <c r="B424" s="840" t="s">
        <v>518</v>
      </c>
      <c r="C424" s="840"/>
      <c r="D424" s="840"/>
      <c r="E424" s="840"/>
      <c r="F424" s="840"/>
      <c r="G424" s="1660">
        <f>'Part IV-Uses of Funds'!G10</f>
        <v>11500</v>
      </c>
      <c r="H424" s="1660"/>
      <c r="I424" s="840"/>
      <c r="J424" s="1660">
        <f>'Part IV-Uses of Funds'!J10</f>
        <v>0</v>
      </c>
      <c r="K424" s="1660"/>
      <c r="L424" s="855"/>
      <c r="M424" s="1660">
        <f>'Part IV-Uses of Funds'!M10</f>
        <v>0</v>
      </c>
      <c r="N424" s="1660"/>
      <c r="O424" s="840"/>
      <c r="P424" s="1660">
        <f>'Part IV-Uses of Funds'!P10</f>
        <v>11500</v>
      </c>
      <c r="Q424" s="1660"/>
      <c r="R424" s="840"/>
      <c r="S424" s="1660">
        <f>'Part IV-Uses of Funds'!S10</f>
        <v>0</v>
      </c>
      <c r="T424" s="1660"/>
    </row>
    <row r="425" spans="1:20">
      <c r="A425" s="840"/>
      <c r="B425" s="840" t="s">
        <v>519</v>
      </c>
      <c r="C425" s="840"/>
      <c r="D425" s="840"/>
      <c r="E425" s="840"/>
      <c r="F425" s="840"/>
      <c r="G425" s="1660">
        <f>'Part IV-Uses of Funds'!G11</f>
        <v>5000</v>
      </c>
      <c r="H425" s="1660"/>
      <c r="I425" s="840"/>
      <c r="J425" s="1660">
        <f>'Part IV-Uses of Funds'!J11</f>
        <v>0</v>
      </c>
      <c r="K425" s="1660"/>
      <c r="L425" s="855"/>
      <c r="M425" s="1660">
        <f>'Part IV-Uses of Funds'!M11</f>
        <v>0</v>
      </c>
      <c r="N425" s="1660"/>
      <c r="O425" s="840"/>
      <c r="P425" s="1660">
        <f>'Part IV-Uses of Funds'!P11</f>
        <v>5000</v>
      </c>
      <c r="Q425" s="1660"/>
      <c r="R425" s="840"/>
      <c r="S425" s="1660">
        <f>'Part IV-Uses of Funds'!S11</f>
        <v>0</v>
      </c>
      <c r="T425" s="1660"/>
    </row>
    <row r="426" spans="1:20">
      <c r="A426" s="840"/>
      <c r="B426" s="840" t="s">
        <v>2669</v>
      </c>
      <c r="C426" s="840"/>
      <c r="D426" s="840"/>
      <c r="E426" s="840"/>
      <c r="F426" s="840"/>
      <c r="G426" s="1660">
        <f>'Part IV-Uses of Funds'!G12</f>
        <v>9237</v>
      </c>
      <c r="H426" s="1660"/>
      <c r="I426" s="840"/>
      <c r="J426" s="1660">
        <f>'Part IV-Uses of Funds'!J12</f>
        <v>0</v>
      </c>
      <c r="K426" s="1660"/>
      <c r="L426" s="855"/>
      <c r="M426" s="1660">
        <f>'Part IV-Uses of Funds'!M12</f>
        <v>0</v>
      </c>
      <c r="N426" s="1660"/>
      <c r="O426" s="840"/>
      <c r="P426" s="1660">
        <f>'Part IV-Uses of Funds'!P12</f>
        <v>9237</v>
      </c>
      <c r="Q426" s="1660"/>
      <c r="R426" s="840"/>
      <c r="S426" s="1660">
        <f>'Part IV-Uses of Funds'!S12</f>
        <v>0</v>
      </c>
      <c r="T426" s="1660"/>
    </row>
    <row r="427" spans="1:20">
      <c r="A427" s="840"/>
      <c r="B427" s="840" t="s">
        <v>199</v>
      </c>
      <c r="C427" s="840"/>
      <c r="D427" s="840"/>
      <c r="E427" s="840"/>
      <c r="F427" s="840"/>
      <c r="G427" s="1660">
        <f>'Part IV-Uses of Funds'!G13</f>
        <v>0</v>
      </c>
      <c r="H427" s="1660"/>
      <c r="I427" s="840"/>
      <c r="J427" s="1660">
        <f>'Part IV-Uses of Funds'!J13</f>
        <v>0</v>
      </c>
      <c r="K427" s="1660"/>
      <c r="L427" s="855"/>
      <c r="M427" s="1660">
        <f>'Part IV-Uses of Funds'!M13</f>
        <v>0</v>
      </c>
      <c r="N427" s="1660"/>
      <c r="O427" s="840"/>
      <c r="P427" s="1660">
        <f>'Part IV-Uses of Funds'!P13</f>
        <v>0</v>
      </c>
      <c r="Q427" s="1660"/>
      <c r="R427" s="840"/>
      <c r="S427" s="1660">
        <f>'Part IV-Uses of Funds'!S13</f>
        <v>0</v>
      </c>
      <c r="T427" s="1660"/>
    </row>
    <row r="428" spans="1:20" ht="12.75" customHeight="1">
      <c r="A428" s="902" t="str">
        <f>IF(AND(G428&gt;0,OR(C428="",C428="&lt;Enter detailed description here; use Comments section if needed&gt;")),"X","")</f>
        <v/>
      </c>
      <c r="B428" s="840" t="s">
        <v>792</v>
      </c>
      <c r="C428" s="1623" t="str">
        <f>'Part IV-Uses of Funds'!C14</f>
        <v>CRS Services for TC app</v>
      </c>
      <c r="D428" s="1623"/>
      <c r="E428" s="1623"/>
      <c r="F428" s="1623"/>
      <c r="G428" s="1660">
        <f>'Part IV-Uses of Funds'!G14</f>
        <v>5000</v>
      </c>
      <c r="H428" s="1660"/>
      <c r="I428" s="840"/>
      <c r="J428" s="1660">
        <f>'Part IV-Uses of Funds'!J14</f>
        <v>0</v>
      </c>
      <c r="K428" s="1660"/>
      <c r="L428" s="855"/>
      <c r="M428" s="1660">
        <f>'Part IV-Uses of Funds'!M14</f>
        <v>0</v>
      </c>
      <c r="N428" s="1660"/>
      <c r="O428" s="840"/>
      <c r="P428" s="1660">
        <f>'Part IV-Uses of Funds'!P14</f>
        <v>0</v>
      </c>
      <c r="Q428" s="1660"/>
      <c r="R428" s="840"/>
      <c r="S428" s="1660">
        <f>'Part IV-Uses of Funds'!S14</f>
        <v>5000</v>
      </c>
      <c r="T428" s="1660"/>
    </row>
    <row r="429" spans="1:20" ht="12.75" customHeight="1">
      <c r="A429" s="902" t="str">
        <f>IF(AND(G429&gt;0,OR(C429="",C429="&lt;Enter detailed description here; use Comments section if needed&gt;")),"X","")</f>
        <v/>
      </c>
      <c r="B429" s="840" t="s">
        <v>792</v>
      </c>
      <c r="C429" s="1623" t="str">
        <f>'Part IV-Uses of Funds'!C15</f>
        <v>Physical Needs Assessment</v>
      </c>
      <c r="D429" s="1623"/>
      <c r="E429" s="1623"/>
      <c r="F429" s="1623"/>
      <c r="G429" s="1660">
        <f>'Part IV-Uses of Funds'!G15</f>
        <v>5000</v>
      </c>
      <c r="H429" s="1660"/>
      <c r="I429" s="840"/>
      <c r="J429" s="1660">
        <f>'Part IV-Uses of Funds'!J15</f>
        <v>0</v>
      </c>
      <c r="K429" s="1660"/>
      <c r="L429" s="855"/>
      <c r="M429" s="1660">
        <f>'Part IV-Uses of Funds'!M15</f>
        <v>0</v>
      </c>
      <c r="N429" s="1660"/>
      <c r="O429" s="840"/>
      <c r="P429" s="1660">
        <f>'Part IV-Uses of Funds'!P15</f>
        <v>5000</v>
      </c>
      <c r="Q429" s="1660"/>
      <c r="R429" s="840"/>
      <c r="S429" s="1660">
        <f>'Part IV-Uses of Funds'!S15</f>
        <v>0</v>
      </c>
      <c r="T429" s="1660"/>
    </row>
    <row r="430" spans="1:20" ht="12.75" customHeight="1">
      <c r="A430" s="902" t="str">
        <f>IF(AND(G430&gt;0,OR(C430="",C430="&lt;Enter detailed description here; use Comments section if needed&gt;")),"X","")</f>
        <v/>
      </c>
      <c r="B430" s="840" t="s">
        <v>792</v>
      </c>
      <c r="C430" s="1623" t="str">
        <f>'Part IV-Uses of Funds'!C16</f>
        <v>Pursuit and Travel (Application Fee)</v>
      </c>
      <c r="D430" s="1623"/>
      <c r="E430" s="1623"/>
      <c r="F430" s="1623"/>
      <c r="G430" s="1660">
        <f>'Part IV-Uses of Funds'!G16</f>
        <v>1500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1500</v>
      </c>
      <c r="T430" s="1660"/>
    </row>
    <row r="431" spans="1:20">
      <c r="A431" s="840"/>
      <c r="B431" s="840"/>
      <c r="C431" s="840"/>
      <c r="D431" s="840"/>
      <c r="E431" s="840"/>
      <c r="F431" s="903" t="s">
        <v>200</v>
      </c>
      <c r="G431" s="1660">
        <f>SUM(G422:H430)</f>
        <v>61437</v>
      </c>
      <c r="H431" s="1660"/>
      <c r="I431" s="840"/>
      <c r="J431" s="1660">
        <f>SUM(J422:K430)</f>
        <v>0</v>
      </c>
      <c r="K431" s="1641"/>
      <c r="L431" s="855"/>
      <c r="M431" s="1660">
        <f>SUM(M422:N430)</f>
        <v>0</v>
      </c>
      <c r="N431" s="1660"/>
      <c r="O431" s="840"/>
      <c r="P431" s="1660">
        <f>SUM(P422:Q430)</f>
        <v>54937</v>
      </c>
      <c r="Q431" s="1660"/>
      <c r="R431" s="840"/>
      <c r="S431" s="1660">
        <f>SUM(S422:T430)</f>
        <v>6500</v>
      </c>
      <c r="T431" s="1660"/>
    </row>
    <row r="432" spans="1:20">
      <c r="A432" s="840"/>
      <c r="B432" s="843" t="s">
        <v>2338</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2339</v>
      </c>
      <c r="C433" s="840"/>
      <c r="D433" s="840"/>
      <c r="E433" s="840"/>
      <c r="F433" s="840"/>
      <c r="G433" s="1660">
        <f>'Part IV-Uses of Funds'!G19</f>
        <v>560000</v>
      </c>
      <c r="H433" s="1660"/>
      <c r="I433" s="840"/>
      <c r="J433" s="855"/>
      <c r="K433" s="901"/>
      <c r="L433" s="855"/>
      <c r="M433" s="855"/>
      <c r="N433" s="901"/>
      <c r="O433" s="840"/>
      <c r="P433" s="855"/>
      <c r="Q433" s="901"/>
      <c r="R433" s="840"/>
      <c r="S433" s="1660">
        <f>'Part IV-Uses of Funds'!S19</f>
        <v>560000</v>
      </c>
      <c r="T433" s="1660"/>
    </row>
    <row r="434" spans="1:20">
      <c r="A434" s="840"/>
      <c r="B434" s="840" t="s">
        <v>1185</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483</v>
      </c>
      <c r="C435" s="840"/>
      <c r="D435" s="840"/>
      <c r="E435" s="840"/>
      <c r="F435" s="840"/>
      <c r="G435" s="1660">
        <f>'Part IV-Uses of Funds'!G21</f>
        <v>0</v>
      </c>
      <c r="H435" s="1660"/>
      <c r="I435" s="840"/>
      <c r="J435" s="855"/>
      <c r="K435" s="901"/>
      <c r="L435" s="855"/>
      <c r="M435" s="1660">
        <f>'Part IV-Uses of Funds'!M21</f>
        <v>0</v>
      </c>
      <c r="N435" s="1660"/>
      <c r="O435" s="840"/>
      <c r="P435" s="855"/>
      <c r="Q435" s="901"/>
      <c r="R435" s="840"/>
      <c r="S435" s="1660">
        <f>'Part IV-Uses of Funds'!S21</f>
        <v>0</v>
      </c>
      <c r="T435" s="1660"/>
    </row>
    <row r="436" spans="1:20">
      <c r="A436" s="840"/>
      <c r="B436" s="840" t="s">
        <v>452</v>
      </c>
      <c r="C436" s="840"/>
      <c r="D436" s="840"/>
      <c r="E436" s="840"/>
      <c r="F436" s="840"/>
      <c r="G436" s="1660">
        <f>'Part IV-Uses of Funds'!G22</f>
        <v>2240000</v>
      </c>
      <c r="H436" s="1660"/>
      <c r="I436" s="840"/>
      <c r="J436" s="855"/>
      <c r="K436" s="901"/>
      <c r="L436" s="855"/>
      <c r="M436" s="1660">
        <f>'Part IV-Uses of Funds'!M22</f>
        <v>2240000</v>
      </c>
      <c r="N436" s="1660"/>
      <c r="O436" s="840"/>
      <c r="P436" s="855"/>
      <c r="Q436" s="901"/>
      <c r="R436" s="840"/>
      <c r="S436" s="1660">
        <f>'Part IV-Uses of Funds'!S22</f>
        <v>0</v>
      </c>
      <c r="T436" s="1660"/>
    </row>
    <row r="437" spans="1:20">
      <c r="A437" s="840"/>
      <c r="B437" s="840"/>
      <c r="C437" s="840"/>
      <c r="D437" s="840"/>
      <c r="E437" s="840"/>
      <c r="F437" s="903" t="s">
        <v>200</v>
      </c>
      <c r="G437" s="1660">
        <f>SUM(G433:H436)</f>
        <v>2800000</v>
      </c>
      <c r="H437" s="1660"/>
      <c r="I437" s="840"/>
      <c r="J437" s="855"/>
      <c r="K437" s="901"/>
      <c r="L437" s="855"/>
      <c r="M437" s="1660">
        <f>SUM(M435:N436)</f>
        <v>2240000</v>
      </c>
      <c r="N437" s="1660"/>
      <c r="O437" s="840"/>
      <c r="P437" s="855"/>
      <c r="Q437" s="901"/>
      <c r="R437" s="840"/>
      <c r="S437" s="1660">
        <f>SUM(S433:T436)</f>
        <v>560000</v>
      </c>
      <c r="T437" s="1660"/>
    </row>
    <row r="438" spans="1:20">
      <c r="A438" s="840"/>
      <c r="B438" s="843" t="s">
        <v>1186</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1187</v>
      </c>
      <c r="C439" s="840"/>
      <c r="D439" s="840"/>
      <c r="E439" s="840"/>
      <c r="F439" s="840"/>
      <c r="G439" s="1660">
        <f>'Part IV-Uses of Funds'!G25</f>
        <v>500000</v>
      </c>
      <c r="H439" s="1660"/>
      <c r="I439" s="840"/>
      <c r="J439" s="1660">
        <f>'Part IV-Uses of Funds'!J25</f>
        <v>0</v>
      </c>
      <c r="K439" s="1660"/>
      <c r="L439" s="855"/>
      <c r="M439" s="1660">
        <f>'Part IV-Uses of Funds'!M25</f>
        <v>0</v>
      </c>
      <c r="N439" s="1660"/>
      <c r="O439" s="840"/>
      <c r="P439" s="1660">
        <f>'Part IV-Uses of Funds'!P25</f>
        <v>450000</v>
      </c>
      <c r="Q439" s="1660"/>
      <c r="R439" s="840"/>
      <c r="S439" s="1660">
        <f>'Part IV-Uses of Funds'!S25</f>
        <v>50000</v>
      </c>
      <c r="T439" s="1660"/>
    </row>
    <row r="440" spans="1:20">
      <c r="A440" s="840"/>
      <c r="B440" s="840" t="s">
        <v>1188</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200</v>
      </c>
      <c r="G441" s="1660">
        <f>SUM(G439:H440)</f>
        <v>500000</v>
      </c>
      <c r="H441" s="1660"/>
      <c r="I441" s="840"/>
      <c r="J441" s="1660">
        <f>SUM(J439:K440)</f>
        <v>0</v>
      </c>
      <c r="K441" s="1660"/>
      <c r="L441" s="855"/>
      <c r="M441" s="1660">
        <f>M439</f>
        <v>0</v>
      </c>
      <c r="N441" s="1660"/>
      <c r="O441" s="840"/>
      <c r="P441" s="1660">
        <f>P439</f>
        <v>450000</v>
      </c>
      <c r="Q441" s="1660"/>
      <c r="R441" s="840"/>
      <c r="S441" s="1660">
        <f>SUM(S439:T440)</f>
        <v>50000</v>
      </c>
      <c r="T441" s="1660"/>
    </row>
    <row r="442" spans="1:20">
      <c r="A442" s="840"/>
      <c r="B442" s="843" t="s">
        <v>1189</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1190</v>
      </c>
      <c r="C443" s="840"/>
      <c r="D443" s="840"/>
      <c r="E443" s="840"/>
      <c r="F443" s="840"/>
      <c r="G443" s="1660">
        <f>'Part IV-Uses of Funds'!G29</f>
        <v>0</v>
      </c>
      <c r="H443" s="1660"/>
      <c r="I443" s="840"/>
      <c r="J443" s="1660">
        <f>'Part IV-Uses of Funds'!J29</f>
        <v>0</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1191</v>
      </c>
      <c r="C444" s="840"/>
      <c r="D444" s="840"/>
      <c r="E444" s="840"/>
      <c r="F444" s="840"/>
      <c r="G444" s="1660">
        <f>'Part IV-Uses of Funds'!G30</f>
        <v>5267252</v>
      </c>
      <c r="H444" s="1660"/>
      <c r="I444" s="840"/>
      <c r="J444" s="1660">
        <f>'Part IV-Uses of Funds'!J30</f>
        <v>0</v>
      </c>
      <c r="K444" s="1660"/>
      <c r="L444" s="855"/>
      <c r="M444" s="1660">
        <f>'Part IV-Uses of Funds'!M30</f>
        <v>0</v>
      </c>
      <c r="N444" s="1660"/>
      <c r="O444" s="840"/>
      <c r="P444" s="1660">
        <f>'Part IV-Uses of Funds'!P30</f>
        <v>5267252</v>
      </c>
      <c r="Q444" s="1660"/>
      <c r="R444" s="840"/>
      <c r="S444" s="1660">
        <f>'Part IV-Uses of Funds'!S30</f>
        <v>0</v>
      </c>
      <c r="T444" s="1660"/>
    </row>
    <row r="445" spans="1:20">
      <c r="A445" s="840"/>
      <c r="B445" s="840" t="s">
        <v>3231</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3230</v>
      </c>
      <c r="C446" s="845"/>
      <c r="D446" s="845"/>
      <c r="E446" s="845"/>
      <c r="F446" s="845"/>
      <c r="G446" s="1660">
        <f>'Part IV-Uses of Funds'!G32</f>
        <v>0</v>
      </c>
      <c r="H446" s="1660"/>
      <c r="I446" s="840"/>
      <c r="J446" s="1660">
        <f>'Part IV-Uses of Funds'!J32</f>
        <v>0</v>
      </c>
      <c r="K446" s="1660"/>
      <c r="L446" s="855"/>
      <c r="M446" s="1660">
        <f>'Part IV-Uses of Funds'!M32</f>
        <v>0</v>
      </c>
      <c r="N446" s="1660"/>
      <c r="O446" s="840"/>
      <c r="P446" s="1660">
        <f>'Part IV-Uses of Funds'!P32</f>
        <v>0</v>
      </c>
      <c r="Q446" s="1660"/>
      <c r="R446" s="840"/>
      <c r="S446" s="1660">
        <f>'Part IV-Uses of Funds'!S32</f>
        <v>0</v>
      </c>
      <c r="T446" s="1660"/>
    </row>
    <row r="447" spans="1:20">
      <c r="A447" s="840"/>
      <c r="B447" s="840"/>
      <c r="C447" s="1678"/>
      <c r="D447" s="1678"/>
      <c r="E447" s="906"/>
      <c r="F447" s="903" t="s">
        <v>200</v>
      </c>
      <c r="G447" s="1660">
        <f>SUM(G443:H446)</f>
        <v>5267252</v>
      </c>
      <c r="H447" s="1660"/>
      <c r="I447" s="840"/>
      <c r="J447" s="1660">
        <f>SUM(J443:K446)</f>
        <v>0</v>
      </c>
      <c r="K447" s="1660"/>
      <c r="L447" s="855"/>
      <c r="M447" s="1660">
        <f>SUM(M443:N446)</f>
        <v>0</v>
      </c>
      <c r="N447" s="1660"/>
      <c r="O447" s="840"/>
      <c r="P447" s="1660">
        <f>SUM(P443:Q446)</f>
        <v>5267252</v>
      </c>
      <c r="Q447" s="1660"/>
      <c r="R447" s="840"/>
      <c r="S447" s="1660">
        <f>SUM(S443:T446)</f>
        <v>0</v>
      </c>
      <c r="T447" s="1660"/>
    </row>
    <row r="448" spans="1:20">
      <c r="A448" s="840"/>
      <c r="B448" s="843" t="s">
        <v>2495</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2496</v>
      </c>
      <c r="C449" s="840"/>
      <c r="D449" s="840"/>
      <c r="E449" s="908">
        <f>'Part IV-Uses of Funds'!E35</f>
        <v>0.06</v>
      </c>
      <c r="F449" s="909">
        <f>'Part IV-Uses of Funds'!F35</f>
        <v>346035.12</v>
      </c>
      <c r="G449" s="1660">
        <f>'Part IV-Uses of Funds'!G35</f>
        <v>346035.12</v>
      </c>
      <c r="H449" s="1660"/>
      <c r="I449" s="845"/>
      <c r="J449" s="1660">
        <f>'Part IV-Uses of Funds'!J35</f>
        <v>0</v>
      </c>
      <c r="K449" s="1660"/>
      <c r="L449" s="855"/>
      <c r="M449" s="1660">
        <f>'Part IV-Uses of Funds'!M35</f>
        <v>0</v>
      </c>
      <c r="N449" s="1660"/>
      <c r="O449" s="840"/>
      <c r="P449" s="1660">
        <f>'Part IV-Uses of Funds'!P35</f>
        <v>346035.12</v>
      </c>
      <c r="Q449" s="1660"/>
      <c r="R449" s="840"/>
      <c r="S449" s="1660">
        <f>'Part IV-Uses of Funds'!S35</f>
        <v>0</v>
      </c>
      <c r="T449" s="1660"/>
    </row>
    <row r="450" spans="1:20">
      <c r="A450" s="840"/>
      <c r="B450" s="840" t="s">
        <v>3008</v>
      </c>
      <c r="C450" s="840"/>
      <c r="D450" s="840"/>
      <c r="E450" s="908">
        <f>'Part IV-Uses of Funds'!E36</f>
        <v>0.02</v>
      </c>
      <c r="F450" s="909">
        <f>'Part IV-Uses of Funds'!F36</f>
        <v>115345.04000000001</v>
      </c>
      <c r="G450" s="1660">
        <f>'Part IV-Uses of Funds'!G36</f>
        <v>115345.04000000001</v>
      </c>
      <c r="H450" s="1660"/>
      <c r="I450" s="845"/>
      <c r="J450" s="1660">
        <f>'Part IV-Uses of Funds'!J36</f>
        <v>0</v>
      </c>
      <c r="K450" s="1660"/>
      <c r="L450" s="855"/>
      <c r="M450" s="1660">
        <f>'Part IV-Uses of Funds'!M36</f>
        <v>0</v>
      </c>
      <c r="N450" s="1660"/>
      <c r="O450" s="840"/>
      <c r="P450" s="1660">
        <f>'Part IV-Uses of Funds'!P36</f>
        <v>115345.04000000001</v>
      </c>
      <c r="Q450" s="1660"/>
      <c r="R450" s="840"/>
      <c r="S450" s="1660">
        <f>'Part IV-Uses of Funds'!S36</f>
        <v>0</v>
      </c>
      <c r="T450" s="1660"/>
    </row>
    <row r="451" spans="1:20">
      <c r="A451" s="840"/>
      <c r="B451" s="840" t="s">
        <v>3009</v>
      </c>
      <c r="C451" s="840"/>
      <c r="D451" s="840"/>
      <c r="E451" s="908">
        <f>'Part IV-Uses of Funds'!E37</f>
        <v>0.06</v>
      </c>
      <c r="F451" s="909">
        <f>'Part IV-Uses of Funds'!F37</f>
        <v>346035.12</v>
      </c>
      <c r="G451" s="1660">
        <f>'Part IV-Uses of Funds'!G37</f>
        <v>346035.12</v>
      </c>
      <c r="H451" s="1660"/>
      <c r="I451" s="845"/>
      <c r="J451" s="1660">
        <f>'Part IV-Uses of Funds'!J37</f>
        <v>0</v>
      </c>
      <c r="K451" s="1660"/>
      <c r="L451" s="855"/>
      <c r="M451" s="1660">
        <f>'Part IV-Uses of Funds'!M37</f>
        <v>0</v>
      </c>
      <c r="N451" s="1660"/>
      <c r="O451" s="840"/>
      <c r="P451" s="1660">
        <f>'Part IV-Uses of Funds'!P37</f>
        <v>346035.12</v>
      </c>
      <c r="Q451" s="1660"/>
      <c r="R451" s="840"/>
      <c r="S451" s="1660">
        <f>'Part IV-Uses of Funds'!S37</f>
        <v>0</v>
      </c>
      <c r="T451" s="1660"/>
    </row>
    <row r="452" spans="1:20">
      <c r="A452" s="840"/>
      <c r="B452" s="840" t="s">
        <v>2178</v>
      </c>
      <c r="C452" s="840"/>
      <c r="D452" s="910"/>
      <c r="E452" s="840"/>
      <c r="F452" s="903" t="s">
        <v>200</v>
      </c>
      <c r="G452" s="1660">
        <f>SUM(G449:H451)</f>
        <v>807415.28</v>
      </c>
      <c r="H452" s="1660"/>
      <c r="I452" s="840"/>
      <c r="J452" s="1660">
        <f>SUM(J449:K451)</f>
        <v>0</v>
      </c>
      <c r="K452" s="1660"/>
      <c r="L452" s="855"/>
      <c r="M452" s="1660">
        <f>SUM(M449:N451)</f>
        <v>0</v>
      </c>
      <c r="N452" s="1660"/>
      <c r="O452" s="840"/>
      <c r="P452" s="1660">
        <f>SUM(P449:Q451)</f>
        <v>807415.28</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3658</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792</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3659</v>
      </c>
      <c r="C457" s="912"/>
      <c r="D457" s="840"/>
      <c r="E457" s="1676" t="s">
        <v>3018</v>
      </c>
      <c r="F457" s="913">
        <f>B458/'Part VI-Revenues &amp; Expenses'!$M$60</f>
        <v>49808.085454545457</v>
      </c>
      <c r="G457" s="914" t="s">
        <v>3660</v>
      </c>
      <c r="H457" s="840"/>
      <c r="I457" s="840"/>
      <c r="J457" s="1679">
        <f>B458/'Part VI-Revenues &amp; Expenses'!$M$62</f>
        <v>49808.085454545457</v>
      </c>
      <c r="K457" s="1679"/>
      <c r="L457" s="840"/>
      <c r="M457" s="1680" t="s">
        <v>1493</v>
      </c>
      <c r="N457" s="1680"/>
      <c r="O457" s="840"/>
      <c r="P457" s="1679">
        <f>B458/'Part I-Project Information'!$P$59</f>
        <v>61.910686654864591</v>
      </c>
      <c r="Q457" s="1679"/>
      <c r="R457" s="840"/>
      <c r="S457" s="1681" t="s">
        <v>3229</v>
      </c>
      <c r="T457" s="1681"/>
    </row>
    <row r="458" spans="1:20">
      <c r="A458" s="840"/>
      <c r="B458" s="1682">
        <f>G441+G447+G452+G455</f>
        <v>6574667.2800000003</v>
      </c>
      <c r="C458" s="1682"/>
      <c r="D458" s="840"/>
      <c r="E458" s="1676"/>
      <c r="F458" s="913">
        <f>B458/'Part VI-Revenues &amp; Expenses'!$M$98</f>
        <v>61.910686654864591</v>
      </c>
      <c r="G458" s="860" t="s">
        <v>3661</v>
      </c>
      <c r="H458" s="840"/>
      <c r="I458" s="840"/>
      <c r="J458" s="1679">
        <f>B458/'Part VI-Revenues &amp; Expenses'!$M$100</f>
        <v>61.910686654864591</v>
      </c>
      <c r="K458" s="1679"/>
      <c r="L458" s="840"/>
      <c r="M458" s="1681" t="s">
        <v>3228</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1192</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2097</v>
      </c>
      <c r="C461" s="845"/>
      <c r="D461" s="845"/>
      <c r="E461" s="845"/>
      <c r="F461" s="915" t="e">
        <f>G461/$B$44</f>
        <v>#DIV/0!</v>
      </c>
      <c r="G461" s="1660">
        <f>'Part IV-Uses of Funds'!G47</f>
        <v>460226.70960000006</v>
      </c>
      <c r="H461" s="1660"/>
      <c r="I461" s="840"/>
      <c r="J461" s="1660">
        <f>'Part IV-Uses of Funds'!J47</f>
        <v>0</v>
      </c>
      <c r="K461" s="1660"/>
      <c r="L461" s="855"/>
      <c r="M461" s="1660">
        <f>'Part IV-Uses of Funds'!M47</f>
        <v>0</v>
      </c>
      <c r="N461" s="1660"/>
      <c r="O461" s="840"/>
      <c r="P461" s="1660">
        <f>'Part IV-Uses of Funds'!P47</f>
        <v>460226.70960000006</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658</v>
      </c>
      <c r="B464" s="900" t="s">
        <v>3662</v>
      </c>
      <c r="C464" s="840"/>
      <c r="D464" s="840"/>
      <c r="E464" s="840"/>
      <c r="F464" s="840"/>
      <c r="G464" s="840"/>
      <c r="H464" s="840"/>
      <c r="I464" s="840"/>
      <c r="J464" s="1676" t="s">
        <v>286</v>
      </c>
      <c r="K464" s="1676"/>
      <c r="L464" s="901"/>
      <c r="M464" s="1677" t="s">
        <v>521</v>
      </c>
      <c r="N464" s="1677"/>
      <c r="O464" s="840"/>
      <c r="P464" s="1676" t="s">
        <v>287</v>
      </c>
      <c r="Q464" s="1676"/>
      <c r="R464" s="840"/>
      <c r="S464" s="1676" t="s">
        <v>288</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773</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2498</v>
      </c>
      <c r="C467" s="840"/>
      <c r="D467" s="840"/>
      <c r="E467" s="840"/>
      <c r="F467" s="840"/>
      <c r="G467" s="1660">
        <f>'Part IV-Uses of Funds'!G53</f>
        <v>93000</v>
      </c>
      <c r="H467" s="1660"/>
      <c r="I467" s="840"/>
      <c r="J467" s="1660">
        <f>'Part IV-Uses of Funds'!J53</f>
        <v>0</v>
      </c>
      <c r="K467" s="1660"/>
      <c r="L467" s="855"/>
      <c r="M467" s="1660">
        <f>'Part IV-Uses of Funds'!M53</f>
        <v>0</v>
      </c>
      <c r="N467" s="1660"/>
      <c r="O467" s="840"/>
      <c r="P467" s="1660">
        <f>'Part IV-Uses of Funds'!P53</f>
        <v>0</v>
      </c>
      <c r="Q467" s="1660"/>
      <c r="R467" s="840"/>
      <c r="S467" s="1660">
        <f>'Part IV-Uses of Funds'!S53</f>
        <v>0</v>
      </c>
      <c r="T467" s="1660"/>
    </row>
    <row r="468" spans="1:20">
      <c r="A468" s="840"/>
      <c r="B468" s="840" t="s">
        <v>2499</v>
      </c>
      <c r="C468" s="840"/>
      <c r="D468" s="840"/>
      <c r="E468" s="840"/>
      <c r="F468" s="840"/>
      <c r="G468" s="1660">
        <f>'Part IV-Uses of Funds'!G54</f>
        <v>134807</v>
      </c>
      <c r="H468" s="1660"/>
      <c r="I468" s="840"/>
      <c r="J468" s="1660">
        <f>'Part IV-Uses of Funds'!J54</f>
        <v>0</v>
      </c>
      <c r="K468" s="1660"/>
      <c r="L468" s="855"/>
      <c r="M468" s="1660">
        <f>'Part IV-Uses of Funds'!M54</f>
        <v>0</v>
      </c>
      <c r="N468" s="1660"/>
      <c r="O468" s="840"/>
      <c r="P468" s="1660">
        <f>'Part IV-Uses of Funds'!P54</f>
        <v>33702</v>
      </c>
      <c r="Q468" s="1660"/>
      <c r="R468" s="840"/>
      <c r="S468" s="1660">
        <f>'Part IV-Uses of Funds'!S54</f>
        <v>101105</v>
      </c>
      <c r="T468" s="1660"/>
    </row>
    <row r="469" spans="1:20">
      <c r="A469" s="840"/>
      <c r="B469" s="840" t="s">
        <v>2500</v>
      </c>
      <c r="C469" s="840"/>
      <c r="D469" s="840"/>
      <c r="E469" s="840"/>
      <c r="F469" s="840"/>
      <c r="G469" s="1660">
        <f>'Part IV-Uses of Funds'!G55</f>
        <v>0</v>
      </c>
      <c r="H469" s="1660"/>
      <c r="I469" s="840"/>
      <c r="J469" s="1660">
        <f>'Part IV-Uses of Funds'!J55</f>
        <v>0</v>
      </c>
      <c r="K469" s="1660"/>
      <c r="L469" s="855"/>
      <c r="M469" s="1660">
        <f>'Part IV-Uses of Funds'!M55</f>
        <v>0</v>
      </c>
      <c r="N469" s="1660"/>
      <c r="O469" s="840"/>
      <c r="P469" s="1660">
        <f>'Part IV-Uses of Funds'!P55</f>
        <v>0</v>
      </c>
      <c r="Q469" s="1660"/>
      <c r="R469" s="840"/>
      <c r="S469" s="1660">
        <f>'Part IV-Uses of Funds'!S55</f>
        <v>0</v>
      </c>
      <c r="T469" s="1660"/>
    </row>
    <row r="470" spans="1:20">
      <c r="A470" s="840"/>
      <c r="B470" s="840" t="s">
        <v>2915</v>
      </c>
      <c r="C470" s="840"/>
      <c r="D470" s="840"/>
      <c r="E470" s="840"/>
      <c r="F470" s="840"/>
      <c r="G470" s="1660">
        <f>'Part IV-Uses of Funds'!G56</f>
        <v>12000</v>
      </c>
      <c r="H470" s="1660"/>
      <c r="I470" s="840"/>
      <c r="J470" s="1660">
        <f>'Part IV-Uses of Funds'!J56</f>
        <v>0</v>
      </c>
      <c r="K470" s="1660"/>
      <c r="L470" s="855"/>
      <c r="M470" s="1660">
        <f>'Part IV-Uses of Funds'!M56</f>
        <v>0</v>
      </c>
      <c r="N470" s="1660"/>
      <c r="O470" s="840"/>
      <c r="P470" s="1660">
        <f>'Part IV-Uses of Funds'!P56</f>
        <v>12000</v>
      </c>
      <c r="Q470" s="1660"/>
      <c r="R470" s="840"/>
      <c r="S470" s="1660">
        <f>'Part IV-Uses of Funds'!S56</f>
        <v>0</v>
      </c>
      <c r="T470" s="1660"/>
    </row>
    <row r="471" spans="1:20">
      <c r="A471" s="840"/>
      <c r="B471" s="840" t="s">
        <v>774</v>
      </c>
      <c r="C471" s="840"/>
      <c r="D471" s="840"/>
      <c r="E471" s="840"/>
      <c r="F471" s="840"/>
      <c r="G471" s="1660">
        <f>'Part IV-Uses of Funds'!G57</f>
        <v>45000</v>
      </c>
      <c r="H471" s="1660"/>
      <c r="I471" s="840"/>
      <c r="J471" s="1660">
        <f>'Part IV-Uses of Funds'!J57</f>
        <v>0</v>
      </c>
      <c r="K471" s="1660"/>
      <c r="L471" s="855"/>
      <c r="M471" s="1660">
        <f>'Part IV-Uses of Funds'!M57</f>
        <v>0</v>
      </c>
      <c r="N471" s="1660"/>
      <c r="O471" s="840"/>
      <c r="P471" s="1660">
        <f>'Part IV-Uses of Funds'!P57</f>
        <v>9000</v>
      </c>
      <c r="Q471" s="1660"/>
      <c r="R471" s="840"/>
      <c r="S471" s="1660">
        <f>'Part IV-Uses of Funds'!S57</f>
        <v>36000</v>
      </c>
      <c r="T471" s="1660"/>
    </row>
    <row r="472" spans="1:20">
      <c r="A472" s="840"/>
      <c r="B472" s="840" t="s">
        <v>2501</v>
      </c>
      <c r="C472" s="840"/>
      <c r="D472" s="840"/>
      <c r="E472" s="840"/>
      <c r="F472" s="840"/>
      <c r="G472" s="1660">
        <f>'Part IV-Uses of Funds'!G58</f>
        <v>0</v>
      </c>
      <c r="H472" s="1660"/>
      <c r="I472" s="840"/>
      <c r="J472" s="1660">
        <f>'Part IV-Uses of Funds'!J58</f>
        <v>0</v>
      </c>
      <c r="K472" s="1660"/>
      <c r="L472" s="855"/>
      <c r="M472" s="1660">
        <f>'Part IV-Uses of Funds'!M58</f>
        <v>0</v>
      </c>
      <c r="N472" s="1660"/>
      <c r="O472" s="840"/>
      <c r="P472" s="1660">
        <f>'Part IV-Uses of Funds'!P58</f>
        <v>0</v>
      </c>
      <c r="Q472" s="1660"/>
      <c r="R472" s="840"/>
      <c r="S472" s="1660">
        <f>'Part IV-Uses of Funds'!S58</f>
        <v>0</v>
      </c>
      <c r="T472" s="1660"/>
    </row>
    <row r="473" spans="1:20">
      <c r="A473" s="840"/>
      <c r="B473" s="840" t="s">
        <v>1357</v>
      </c>
      <c r="C473" s="840"/>
      <c r="D473" s="840"/>
      <c r="E473" s="840"/>
      <c r="F473" s="840"/>
      <c r="G473" s="1660">
        <f>'Part IV-Uses of Funds'!G59</f>
        <v>47154</v>
      </c>
      <c r="H473" s="1660"/>
      <c r="I473" s="840"/>
      <c r="J473" s="1660">
        <f>'Part IV-Uses of Funds'!J59</f>
        <v>0</v>
      </c>
      <c r="K473" s="1660"/>
      <c r="L473" s="855"/>
      <c r="M473" s="1660">
        <f>'Part IV-Uses of Funds'!M59</f>
        <v>0</v>
      </c>
      <c r="N473" s="1660"/>
      <c r="O473" s="840"/>
      <c r="P473" s="1660">
        <f>'Part IV-Uses of Funds'!P59</f>
        <v>40081</v>
      </c>
      <c r="Q473" s="1660"/>
      <c r="R473" s="840"/>
      <c r="S473" s="1660">
        <f>'Part IV-Uses of Funds'!S59</f>
        <v>7073</v>
      </c>
      <c r="T473" s="1660"/>
    </row>
    <row r="474" spans="1:20">
      <c r="A474" s="840"/>
      <c r="B474" s="840" t="s">
        <v>296</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1223</v>
      </c>
      <c r="C475" s="840"/>
      <c r="D475" s="908"/>
      <c r="E475" s="908"/>
      <c r="F475" s="909"/>
      <c r="G475" s="1660">
        <f>'Part IV-Uses of Funds'!G61</f>
        <v>0</v>
      </c>
      <c r="H475" s="1660"/>
      <c r="I475" s="845"/>
      <c r="J475" s="1660">
        <f>'Part IV-Uses of Funds'!J61</f>
        <v>0</v>
      </c>
      <c r="K475" s="1660"/>
      <c r="L475" s="855"/>
      <c r="M475" s="1660">
        <f>'Part IV-Uses of Funds'!M61</f>
        <v>0</v>
      </c>
      <c r="N475" s="1660"/>
      <c r="O475" s="840"/>
      <c r="P475" s="1660">
        <f>'Part IV-Uses of Funds'!P61</f>
        <v>0</v>
      </c>
      <c r="Q475" s="1660"/>
      <c r="R475" s="840"/>
      <c r="S475" s="1660">
        <f>'Part IV-Uses of Funds'!S61</f>
        <v>0</v>
      </c>
      <c r="T475" s="1660"/>
    </row>
    <row r="476" spans="1:20" ht="12.75" customHeight="1">
      <c r="A476" s="902" t="str">
        <f>IF(AND(G476&gt;0,OR(C476="",C476="&lt;Enter detailed description here; use Comments section if needed&gt;")),"X","")</f>
        <v/>
      </c>
      <c r="B476" s="840" t="s">
        <v>792</v>
      </c>
      <c r="C476" s="1623" t="str">
        <f>'Part IV-Uses of Funds'!C62</f>
        <v>Lender Application Fee</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792</v>
      </c>
      <c r="C477" s="1623" t="str">
        <f>'Part IV-Uses of Funds'!C63</f>
        <v>Lender Legal</v>
      </c>
      <c r="D477" s="1623"/>
      <c r="E477" s="1623"/>
      <c r="F477" s="1623"/>
      <c r="G477" s="1660">
        <f>'Part IV-Uses of Funds'!G63</f>
        <v>25000</v>
      </c>
      <c r="H477" s="1660"/>
      <c r="I477" s="840"/>
      <c r="J477" s="1660">
        <f>'Part IV-Uses of Funds'!J63</f>
        <v>0</v>
      </c>
      <c r="K477" s="1660"/>
      <c r="L477" s="855"/>
      <c r="M477" s="1660">
        <f>'Part IV-Uses of Funds'!M63</f>
        <v>0</v>
      </c>
      <c r="N477" s="1660"/>
      <c r="O477" s="840"/>
      <c r="P477" s="1660">
        <f>'Part IV-Uses of Funds'!P63</f>
        <v>25000</v>
      </c>
      <c r="Q477" s="1660"/>
      <c r="R477" s="840"/>
      <c r="S477" s="1660">
        <f>'Part IV-Uses of Funds'!S63</f>
        <v>0</v>
      </c>
      <c r="T477" s="1660"/>
    </row>
    <row r="478" spans="1:20">
      <c r="A478" s="840"/>
      <c r="B478" s="840"/>
      <c r="C478" s="840"/>
      <c r="D478" s="840"/>
      <c r="E478" s="840"/>
      <c r="F478" s="903" t="s">
        <v>200</v>
      </c>
      <c r="G478" s="1660">
        <f>SUM(G467:H477)</f>
        <v>356961</v>
      </c>
      <c r="H478" s="1660"/>
      <c r="I478" s="840"/>
      <c r="J478" s="1660">
        <f>SUM(J467:K477)</f>
        <v>0</v>
      </c>
      <c r="K478" s="1660"/>
      <c r="L478" s="855"/>
      <c r="M478" s="1660">
        <f>SUM(M467:N477)</f>
        <v>0</v>
      </c>
      <c r="N478" s="1660"/>
      <c r="O478" s="840"/>
      <c r="P478" s="1660">
        <f>SUM(P467:Q477)</f>
        <v>119783</v>
      </c>
      <c r="Q478" s="1660"/>
      <c r="R478" s="840"/>
      <c r="S478" s="1660">
        <f>SUM(S467:T477)</f>
        <v>144178</v>
      </c>
      <c r="T478" s="1660"/>
    </row>
    <row r="479" spans="1:20">
      <c r="A479" s="840"/>
      <c r="B479" s="843" t="s">
        <v>506</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507</v>
      </c>
      <c r="C480" s="840"/>
      <c r="D480" s="840"/>
      <c r="E480" s="840"/>
      <c r="F480" s="840"/>
      <c r="G480" s="1660">
        <f>'Part IV-Uses of Funds'!G66</f>
        <v>165000</v>
      </c>
      <c r="H480" s="1660"/>
      <c r="I480" s="840"/>
      <c r="J480" s="1660">
        <f>'Part IV-Uses of Funds'!J66</f>
        <v>0</v>
      </c>
      <c r="K480" s="1660"/>
      <c r="L480" s="855"/>
      <c r="M480" s="1660">
        <f>'Part IV-Uses of Funds'!M66</f>
        <v>0</v>
      </c>
      <c r="N480" s="1660"/>
      <c r="O480" s="840"/>
      <c r="P480" s="1660">
        <f>'Part IV-Uses of Funds'!P66</f>
        <v>165000</v>
      </c>
      <c r="Q480" s="1660"/>
      <c r="R480" s="840"/>
      <c r="S480" s="1660">
        <f>'Part IV-Uses of Funds'!S66</f>
        <v>0</v>
      </c>
      <c r="T480" s="1660"/>
    </row>
    <row r="481" spans="1:20">
      <c r="A481" s="840"/>
      <c r="B481" s="840" t="s">
        <v>508</v>
      </c>
      <c r="C481" s="840"/>
      <c r="D481" s="840"/>
      <c r="E481" s="840"/>
      <c r="F481" s="840"/>
      <c r="G481" s="1660">
        <f>'Part IV-Uses of Funds'!G67</f>
        <v>26400</v>
      </c>
      <c r="H481" s="1660"/>
      <c r="I481" s="840"/>
      <c r="J481" s="1660">
        <f>'Part IV-Uses of Funds'!J67</f>
        <v>0</v>
      </c>
      <c r="K481" s="1660"/>
      <c r="L481" s="855"/>
      <c r="M481" s="1660">
        <f>'Part IV-Uses of Funds'!M67</f>
        <v>0</v>
      </c>
      <c r="N481" s="1660"/>
      <c r="O481" s="840"/>
      <c r="P481" s="1660">
        <f>'Part IV-Uses of Funds'!P67</f>
        <v>26400</v>
      </c>
      <c r="Q481" s="1660"/>
      <c r="R481" s="840"/>
      <c r="S481" s="1660">
        <f>'Part IV-Uses of Funds'!S67</f>
        <v>0</v>
      </c>
      <c r="T481" s="1660"/>
    </row>
    <row r="482" spans="1:20">
      <c r="A482" s="840"/>
      <c r="B482" s="840" t="s">
        <v>1194</v>
      </c>
      <c r="C482" s="840"/>
      <c r="D482" s="840"/>
      <c r="E482" s="840"/>
      <c r="F482" s="840" t="s">
        <v>3148</v>
      </c>
      <c r="G482" s="1660">
        <f>'Part IV-Uses of Funds'!G68</f>
        <v>20000</v>
      </c>
      <c r="H482" s="1660"/>
      <c r="I482" s="840"/>
      <c r="J482" s="1660">
        <f>'Part IV-Uses of Funds'!J68</f>
        <v>0</v>
      </c>
      <c r="K482" s="1660"/>
      <c r="L482" s="855"/>
      <c r="M482" s="1660">
        <f>'Part IV-Uses of Funds'!M68</f>
        <v>0</v>
      </c>
      <c r="N482" s="1660"/>
      <c r="O482" s="840"/>
      <c r="P482" s="1660">
        <f>'Part IV-Uses of Funds'!P68</f>
        <v>20000</v>
      </c>
      <c r="Q482" s="1660"/>
      <c r="R482" s="840"/>
      <c r="S482" s="1660">
        <f>'Part IV-Uses of Funds'!S68</f>
        <v>0</v>
      </c>
      <c r="T482" s="1660"/>
    </row>
    <row r="483" spans="1:20">
      <c r="A483" s="840"/>
      <c r="B483" s="840" t="s">
        <v>1195</v>
      </c>
      <c r="C483" s="840"/>
      <c r="D483" s="840"/>
      <c r="E483" s="840"/>
      <c r="F483" s="840"/>
      <c r="G483" s="1660">
        <f>'Part IV-Uses of Funds'!G69</f>
        <v>10000</v>
      </c>
      <c r="H483" s="1660"/>
      <c r="I483" s="840"/>
      <c r="J483" s="1660">
        <f>'Part IV-Uses of Funds'!J69</f>
        <v>0</v>
      </c>
      <c r="K483" s="1660"/>
      <c r="L483" s="855"/>
      <c r="M483" s="1660">
        <f>'Part IV-Uses of Funds'!M69</f>
        <v>0</v>
      </c>
      <c r="N483" s="1660"/>
      <c r="O483" s="840"/>
      <c r="P483" s="1660">
        <f>'Part IV-Uses of Funds'!P69</f>
        <v>10000</v>
      </c>
      <c r="Q483" s="1660"/>
      <c r="R483" s="840"/>
      <c r="S483" s="1660">
        <f>'Part IV-Uses of Funds'!S69</f>
        <v>0</v>
      </c>
      <c r="T483" s="1660"/>
    </row>
    <row r="484" spans="1:20">
      <c r="A484" s="840"/>
      <c r="B484" s="840" t="s">
        <v>1196</v>
      </c>
      <c r="C484" s="840"/>
      <c r="D484" s="840"/>
      <c r="E484" s="840"/>
      <c r="F484" s="840"/>
      <c r="G484" s="1660">
        <f>'Part IV-Uses of Funds'!G70</f>
        <v>10000</v>
      </c>
      <c r="H484" s="1660"/>
      <c r="I484" s="840"/>
      <c r="J484" s="1660">
        <f>'Part IV-Uses of Funds'!J70</f>
        <v>0</v>
      </c>
      <c r="K484" s="1660"/>
      <c r="L484" s="855"/>
      <c r="M484" s="1660">
        <f>'Part IV-Uses of Funds'!M70</f>
        <v>0</v>
      </c>
      <c r="N484" s="1660"/>
      <c r="O484" s="840"/>
      <c r="P484" s="1660">
        <f>'Part IV-Uses of Funds'!P70</f>
        <v>10000</v>
      </c>
      <c r="Q484" s="1660"/>
      <c r="R484" s="840"/>
      <c r="S484" s="1660">
        <f>'Part IV-Uses of Funds'!S70</f>
        <v>0</v>
      </c>
      <c r="T484" s="1660"/>
    </row>
    <row r="485" spans="1:20">
      <c r="A485" s="840"/>
      <c r="B485" s="840" t="s">
        <v>1197</v>
      </c>
      <c r="C485" s="840"/>
      <c r="D485" s="840"/>
      <c r="E485" s="840"/>
      <c r="F485" s="840"/>
      <c r="G485" s="1660">
        <f>'Part IV-Uses of Funds'!G71</f>
        <v>10000</v>
      </c>
      <c r="H485" s="1660"/>
      <c r="I485" s="840"/>
      <c r="J485" s="1660">
        <f>'Part IV-Uses of Funds'!J71</f>
        <v>0</v>
      </c>
      <c r="K485" s="1660"/>
      <c r="L485" s="855"/>
      <c r="M485" s="1660">
        <f>'Part IV-Uses of Funds'!M71</f>
        <v>0</v>
      </c>
      <c r="N485" s="1660"/>
      <c r="O485" s="840"/>
      <c r="P485" s="1660">
        <f>'Part IV-Uses of Funds'!P71</f>
        <v>10000</v>
      </c>
      <c r="Q485" s="1660"/>
      <c r="R485" s="840"/>
      <c r="S485" s="1660">
        <f>'Part IV-Uses of Funds'!S71</f>
        <v>0</v>
      </c>
      <c r="T485" s="1660"/>
    </row>
    <row r="486" spans="1:20">
      <c r="A486" s="840"/>
      <c r="B486" s="840" t="s">
        <v>509</v>
      </c>
      <c r="C486" s="840"/>
      <c r="D486" s="840"/>
      <c r="E486" s="840"/>
      <c r="F486" s="840"/>
      <c r="G486" s="1660">
        <f>'Part IV-Uses of Funds'!G72</f>
        <v>20000</v>
      </c>
      <c r="H486" s="1660"/>
      <c r="I486" s="840"/>
      <c r="J486" s="1660">
        <f>'Part IV-Uses of Funds'!J72</f>
        <v>0</v>
      </c>
      <c r="K486" s="1660"/>
      <c r="L486" s="855"/>
      <c r="M486" s="1660">
        <f>'Part IV-Uses of Funds'!M72</f>
        <v>0</v>
      </c>
      <c r="N486" s="1660"/>
      <c r="O486" s="840"/>
      <c r="P486" s="1660">
        <f>'Part IV-Uses of Funds'!P72</f>
        <v>20000</v>
      </c>
      <c r="Q486" s="1660"/>
      <c r="R486" s="840"/>
      <c r="S486" s="1660">
        <f>'Part IV-Uses of Funds'!S72</f>
        <v>0</v>
      </c>
      <c r="T486" s="1660"/>
    </row>
    <row r="487" spans="1:20">
      <c r="A487" s="840"/>
      <c r="B487" s="840" t="s">
        <v>510</v>
      </c>
      <c r="C487" s="840"/>
      <c r="D487" s="840"/>
      <c r="E487" s="840"/>
      <c r="F487" s="840"/>
      <c r="G487" s="1660">
        <f>'Part IV-Uses of Funds'!G73</f>
        <v>70000</v>
      </c>
      <c r="H487" s="1660"/>
      <c r="I487" s="840"/>
      <c r="J487" s="1660">
        <f>'Part IV-Uses of Funds'!J73</f>
        <v>0</v>
      </c>
      <c r="K487" s="1660"/>
      <c r="L487" s="855"/>
      <c r="M487" s="1660">
        <f>'Part IV-Uses of Funds'!M73</f>
        <v>0</v>
      </c>
      <c r="N487" s="1660"/>
      <c r="O487" s="840"/>
      <c r="P487" s="1660">
        <f>'Part IV-Uses of Funds'!P73</f>
        <v>42000</v>
      </c>
      <c r="Q487" s="1660"/>
      <c r="R487" s="840"/>
      <c r="S487" s="1660">
        <f>'Part IV-Uses of Funds'!S73</f>
        <v>28000</v>
      </c>
      <c r="T487" s="1660"/>
    </row>
    <row r="488" spans="1:20">
      <c r="A488" s="840"/>
      <c r="B488" s="840" t="s">
        <v>2188</v>
      </c>
      <c r="C488" s="840"/>
      <c r="D488" s="840"/>
      <c r="E488" s="840"/>
      <c r="F488" s="840"/>
      <c r="G488" s="1660">
        <f>'Part IV-Uses of Funds'!G74</f>
        <v>17500</v>
      </c>
      <c r="H488" s="1660"/>
      <c r="I488" s="840"/>
      <c r="J488" s="1660">
        <f>'Part IV-Uses of Funds'!J74</f>
        <v>0</v>
      </c>
      <c r="K488" s="1660"/>
      <c r="L488" s="855"/>
      <c r="M488" s="1660">
        <f>'Part IV-Uses of Funds'!M74</f>
        <v>0</v>
      </c>
      <c r="N488" s="1660"/>
      <c r="O488" s="840"/>
      <c r="P488" s="1660">
        <f>'Part IV-Uses of Funds'!P74</f>
        <v>17500</v>
      </c>
      <c r="Q488" s="1660"/>
      <c r="R488" s="840"/>
      <c r="S488" s="1660">
        <f>'Part IV-Uses of Funds'!S74</f>
        <v>0</v>
      </c>
      <c r="T488" s="1660"/>
    </row>
    <row r="489" spans="1:20">
      <c r="A489" s="840"/>
      <c r="B489" s="840" t="s">
        <v>1358</v>
      </c>
      <c r="C489" s="840"/>
      <c r="D489" s="840"/>
      <c r="E489" s="840"/>
      <c r="F489" s="840"/>
      <c r="G489" s="1660">
        <f>'Part IV-Uses of Funds'!G75</f>
        <v>10000</v>
      </c>
      <c r="H489" s="1660"/>
      <c r="I489" s="840"/>
      <c r="J489" s="1660">
        <f>'Part IV-Uses of Funds'!J75</f>
        <v>0</v>
      </c>
      <c r="K489" s="1660"/>
      <c r="L489" s="855"/>
      <c r="M489" s="1660">
        <f>'Part IV-Uses of Funds'!M75</f>
        <v>0</v>
      </c>
      <c r="N489" s="1660"/>
      <c r="O489" s="840"/>
      <c r="P489" s="1660">
        <f>'Part IV-Uses of Funds'!P75</f>
        <v>10000</v>
      </c>
      <c r="Q489" s="1660"/>
      <c r="R489" s="840"/>
      <c r="S489" s="1660">
        <f>'Part IV-Uses of Funds'!S75</f>
        <v>0</v>
      </c>
      <c r="T489" s="1660"/>
    </row>
    <row r="490" spans="1:20" ht="12.75" customHeight="1">
      <c r="A490" s="902" t="str">
        <f>IF(AND(G490&gt;0,OR(C490="",C490="&lt;Enter detailed description here; use Comments section if needed&gt;")),"X","")</f>
        <v/>
      </c>
      <c r="B490" s="840" t="s">
        <v>792</v>
      </c>
      <c r="C490" s="1623" t="str">
        <f>'Part IV-Uses of Funds'!C76</f>
        <v>Landscape Design</v>
      </c>
      <c r="D490" s="1623"/>
      <c r="E490" s="1623"/>
      <c r="F490" s="1623"/>
      <c r="G490" s="1660">
        <f>'Part IV-Uses of Funds'!G76</f>
        <v>15000</v>
      </c>
      <c r="H490" s="1660"/>
      <c r="I490" s="840"/>
      <c r="J490" s="1660">
        <f>'Part IV-Uses of Funds'!J76</f>
        <v>0</v>
      </c>
      <c r="K490" s="1660"/>
      <c r="L490" s="855"/>
      <c r="M490" s="1660">
        <f>'Part IV-Uses of Funds'!M76</f>
        <v>0</v>
      </c>
      <c r="N490" s="1660"/>
      <c r="O490" s="840"/>
      <c r="P490" s="1660">
        <f>'Part IV-Uses of Funds'!P76</f>
        <v>15000</v>
      </c>
      <c r="Q490" s="1660"/>
      <c r="R490" s="840"/>
      <c r="S490" s="1660">
        <f>'Part IV-Uses of Funds'!S76</f>
        <v>0</v>
      </c>
      <c r="T490" s="1660"/>
    </row>
    <row r="491" spans="1:20">
      <c r="A491" s="840"/>
      <c r="B491" s="840"/>
      <c r="C491" s="840"/>
      <c r="D491" s="840"/>
      <c r="E491" s="840"/>
      <c r="F491" s="903" t="s">
        <v>200</v>
      </c>
      <c r="G491" s="1660">
        <f>SUM(G480:H490)</f>
        <v>373900</v>
      </c>
      <c r="H491" s="1660"/>
      <c r="I491" s="840"/>
      <c r="J491" s="1660">
        <f>SUM(J480:K490)</f>
        <v>0</v>
      </c>
      <c r="K491" s="1660"/>
      <c r="L491" s="855"/>
      <c r="M491" s="1660">
        <f>SUM(M480:N490)</f>
        <v>0</v>
      </c>
      <c r="N491" s="1660"/>
      <c r="O491" s="840"/>
      <c r="P491" s="1660">
        <f>SUM(P480:Q490)</f>
        <v>345900</v>
      </c>
      <c r="Q491" s="1660"/>
      <c r="R491" s="840"/>
      <c r="S491" s="1660">
        <f>SUM(S480:T490)</f>
        <v>28000</v>
      </c>
      <c r="T491" s="1660"/>
    </row>
    <row r="492" spans="1:20">
      <c r="A492" s="840"/>
      <c r="B492" s="843" t="s">
        <v>1350</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1351</v>
      </c>
      <c r="C493" s="840"/>
      <c r="D493" s="840"/>
      <c r="E493" s="840"/>
      <c r="F493" s="840"/>
      <c r="G493" s="1660">
        <f>'Part IV-Uses of Funds'!G79</f>
        <v>25000</v>
      </c>
      <c r="H493" s="1660"/>
      <c r="I493" s="840"/>
      <c r="J493" s="1660">
        <f>'Part IV-Uses of Funds'!J79</f>
        <v>0</v>
      </c>
      <c r="K493" s="1660"/>
      <c r="L493" s="855"/>
      <c r="M493" s="1660">
        <f>'Part IV-Uses of Funds'!M79</f>
        <v>0</v>
      </c>
      <c r="N493" s="1660"/>
      <c r="O493" s="840"/>
      <c r="P493" s="1660">
        <f>'Part IV-Uses of Funds'!P79</f>
        <v>25000</v>
      </c>
      <c r="Q493" s="1660"/>
      <c r="R493" s="840"/>
      <c r="S493" s="1660">
        <f>'Part IV-Uses of Funds'!S79</f>
        <v>0</v>
      </c>
      <c r="T493" s="1660"/>
    </row>
    <row r="494" spans="1:20">
      <c r="A494" s="840"/>
      <c r="B494" s="840" t="s">
        <v>1352</v>
      </c>
      <c r="C494" s="840"/>
      <c r="D494" s="840"/>
      <c r="E494" s="840"/>
      <c r="F494" s="840"/>
      <c r="G494" s="1660">
        <f>'Part IV-Uses of Funds'!G80</f>
        <v>0</v>
      </c>
      <c r="H494" s="1660"/>
      <c r="I494" s="840"/>
      <c r="J494" s="1660">
        <f>'Part IV-Uses of Funds'!J80</f>
        <v>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1353</v>
      </c>
      <c r="C495" s="840"/>
      <c r="D495" s="916" t="s">
        <v>1494</v>
      </c>
      <c r="E495" s="924">
        <f>'Part IV-Uses of Funds'!E81</f>
        <v>0</v>
      </c>
      <c r="F495" s="840"/>
      <c r="G495" s="1660">
        <f>'Part IV-Uses of Funds'!G81</f>
        <v>10000</v>
      </c>
      <c r="H495" s="1660"/>
      <c r="I495" s="845"/>
      <c r="J495" s="1660">
        <f>'Part IV-Uses of Funds'!J81</f>
        <v>0</v>
      </c>
      <c r="K495" s="1660"/>
      <c r="L495" s="855"/>
      <c r="M495" s="1660">
        <f>'Part IV-Uses of Funds'!M81</f>
        <v>0</v>
      </c>
      <c r="N495" s="1660"/>
      <c r="O495" s="840"/>
      <c r="P495" s="1660">
        <f>'Part IV-Uses of Funds'!P81</f>
        <v>10000</v>
      </c>
      <c r="Q495" s="1660"/>
      <c r="R495" s="840"/>
      <c r="S495" s="1660">
        <f>'Part IV-Uses of Funds'!S81</f>
        <v>0</v>
      </c>
      <c r="T495" s="1660"/>
    </row>
    <row r="496" spans="1:20">
      <c r="A496" s="840"/>
      <c r="B496" s="840" t="s">
        <v>1354</v>
      </c>
      <c r="C496" s="840"/>
      <c r="D496" s="916" t="s">
        <v>1494</v>
      </c>
      <c r="E496" s="924">
        <f>'Part IV-Uses of Funds'!E82</f>
        <v>0</v>
      </c>
      <c r="F496" s="840"/>
      <c r="G496" s="1660">
        <f>'Part IV-Uses of Funds'!G82</f>
        <v>10000</v>
      </c>
      <c r="H496" s="1660"/>
      <c r="I496" s="845"/>
      <c r="J496" s="1660">
        <f>'Part IV-Uses of Funds'!J82</f>
        <v>0</v>
      </c>
      <c r="K496" s="1660"/>
      <c r="L496" s="855"/>
      <c r="M496" s="1660">
        <f>'Part IV-Uses of Funds'!M82</f>
        <v>0</v>
      </c>
      <c r="N496" s="1660"/>
      <c r="O496" s="840"/>
      <c r="P496" s="1660">
        <f>'Part IV-Uses of Funds'!P82</f>
        <v>10000</v>
      </c>
      <c r="Q496" s="1660"/>
      <c r="R496" s="840"/>
      <c r="S496" s="1660">
        <f>'Part IV-Uses of Funds'!S82</f>
        <v>0</v>
      </c>
      <c r="T496" s="1660"/>
    </row>
    <row r="497" spans="1:20">
      <c r="A497" s="840"/>
      <c r="B497" s="840"/>
      <c r="C497" s="840"/>
      <c r="D497" s="840"/>
      <c r="E497" s="840"/>
      <c r="F497" s="903" t="s">
        <v>200</v>
      </c>
      <c r="G497" s="1660">
        <f>SUM(G493:H496)</f>
        <v>45000</v>
      </c>
      <c r="H497" s="1660"/>
      <c r="I497" s="840"/>
      <c r="J497" s="1660">
        <f>SUM(J493:K496)</f>
        <v>0</v>
      </c>
      <c r="K497" s="1660"/>
      <c r="L497" s="855"/>
      <c r="M497" s="1660">
        <f>SUM(M493:N496)</f>
        <v>0</v>
      </c>
      <c r="N497" s="1660"/>
      <c r="O497" s="840"/>
      <c r="P497" s="1660">
        <f>SUM(P493:Q496)</f>
        <v>45000</v>
      </c>
      <c r="Q497" s="1660"/>
      <c r="R497" s="840"/>
      <c r="S497" s="1660">
        <f>SUM(S493:T496)</f>
        <v>0</v>
      </c>
      <c r="T497" s="1660"/>
    </row>
    <row r="498" spans="1:20">
      <c r="A498" s="840"/>
      <c r="B498" s="843" t="s">
        <v>775</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1355</v>
      </c>
      <c r="C499" s="840"/>
      <c r="D499" s="840"/>
      <c r="E499" s="840"/>
      <c r="F499" s="840"/>
      <c r="G499" s="1660">
        <f>'Part IV-Uses of Funds'!G85</f>
        <v>31760</v>
      </c>
      <c r="H499" s="1660"/>
      <c r="I499" s="840"/>
      <c r="J499" s="1683"/>
      <c r="K499" s="1683"/>
      <c r="L499" s="855"/>
      <c r="M499" s="1683"/>
      <c r="N499" s="1683"/>
      <c r="O499" s="840"/>
      <c r="P499" s="1683"/>
      <c r="Q499" s="1683"/>
      <c r="R499" s="840"/>
      <c r="S499" s="1660">
        <f>'Part IV-Uses of Funds'!S85</f>
        <v>31760</v>
      </c>
      <c r="T499" s="1660"/>
    </row>
    <row r="500" spans="1:20">
      <c r="A500" s="840"/>
      <c r="B500" s="840" t="s">
        <v>1356</v>
      </c>
      <c r="C500" s="840"/>
      <c r="D500" s="840"/>
      <c r="E500" s="840"/>
      <c r="F500" s="840"/>
      <c r="G500" s="1660">
        <f>'Part IV-Uses of Funds'!G86</f>
        <v>0</v>
      </c>
      <c r="H500" s="1660"/>
      <c r="I500" s="840"/>
      <c r="J500" s="1683"/>
      <c r="K500" s="1683"/>
      <c r="L500" s="855"/>
      <c r="M500" s="1683"/>
      <c r="N500" s="1683"/>
      <c r="O500" s="840"/>
      <c r="P500" s="1683"/>
      <c r="Q500" s="1683"/>
      <c r="R500" s="840"/>
      <c r="S500" s="1660">
        <f>'Part IV-Uses of Funds'!S86</f>
        <v>0</v>
      </c>
      <c r="T500" s="1660"/>
    </row>
    <row r="501" spans="1:20">
      <c r="A501" s="840"/>
      <c r="B501" s="840" t="s">
        <v>1357</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1359</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2448</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792</v>
      </c>
      <c r="C504" s="1623" t="str">
        <f>'Part IV-Uses of Funds'!C90</f>
        <v>Lender Application Fee</v>
      </c>
      <c r="D504" s="1623"/>
      <c r="E504" s="1623"/>
      <c r="F504" s="1623"/>
      <c r="G504" s="1660">
        <f>'Part IV-Uses of Funds'!G90</f>
        <v>25000</v>
      </c>
      <c r="H504" s="1660"/>
      <c r="I504" s="840"/>
      <c r="J504" s="1683"/>
      <c r="K504" s="1683"/>
      <c r="L504" s="855"/>
      <c r="M504" s="1683"/>
      <c r="N504" s="1683"/>
      <c r="O504" s="840"/>
      <c r="P504" s="1683"/>
      <c r="Q504" s="1683"/>
      <c r="R504" s="840"/>
      <c r="S504" s="1660">
        <f>'Part IV-Uses of Funds'!S90</f>
        <v>25000</v>
      </c>
      <c r="T504" s="1660"/>
    </row>
    <row r="505" spans="1:20">
      <c r="A505" s="840"/>
      <c r="B505" s="840"/>
      <c r="C505" s="840"/>
      <c r="D505" s="840"/>
      <c r="E505" s="840"/>
      <c r="F505" s="903" t="s">
        <v>200</v>
      </c>
      <c r="G505" s="1660">
        <f>SUM(G499:H504)</f>
        <v>56760</v>
      </c>
      <c r="H505" s="1660"/>
      <c r="I505" s="840"/>
      <c r="J505" s="1683"/>
      <c r="K505" s="1683"/>
      <c r="L505" s="855"/>
      <c r="M505" s="1683"/>
      <c r="N505" s="1683"/>
      <c r="O505" s="840"/>
      <c r="P505" s="1683"/>
      <c r="Q505" s="1683"/>
      <c r="R505" s="840"/>
      <c r="S505" s="1660">
        <f>SUM(S499:T504)</f>
        <v>56760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658</v>
      </c>
      <c r="B507" s="900" t="s">
        <v>3663</v>
      </c>
      <c r="C507" s="840"/>
      <c r="D507" s="840"/>
      <c r="E507" s="840"/>
      <c r="F507" s="840"/>
      <c r="G507" s="840"/>
      <c r="H507" s="840"/>
      <c r="I507" s="840"/>
      <c r="J507" s="1676" t="s">
        <v>286</v>
      </c>
      <c r="K507" s="1676"/>
      <c r="L507" s="901"/>
      <c r="M507" s="1677" t="s">
        <v>521</v>
      </c>
      <c r="N507" s="1677"/>
      <c r="O507" s="840"/>
      <c r="P507" s="1676" t="s">
        <v>287</v>
      </c>
      <c r="Q507" s="1676"/>
      <c r="R507" s="840"/>
      <c r="S507" s="1676" t="s">
        <v>288</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776</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1644</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1275</v>
      </c>
      <c r="C511" s="840"/>
      <c r="D511" s="840"/>
      <c r="E511" s="840"/>
      <c r="F511" s="840"/>
      <c r="G511" s="1660">
        <f>'Part IV-Uses of Funds'!G97</f>
        <v>8500</v>
      </c>
      <c r="H511" s="1660"/>
      <c r="I511" s="840"/>
      <c r="J511" s="855"/>
      <c r="K511" s="855"/>
      <c r="L511" s="917"/>
      <c r="M511" s="855"/>
      <c r="N511" s="855"/>
      <c r="O511" s="840"/>
      <c r="P511" s="855"/>
      <c r="Q511" s="855"/>
      <c r="R511" s="840"/>
      <c r="S511" s="1660">
        <f>'Part IV-Uses of Funds'!S97</f>
        <v>8500</v>
      </c>
      <c r="T511" s="1660"/>
    </row>
    <row r="512" spans="1:20">
      <c r="A512" s="840"/>
      <c r="B512" s="840" t="s">
        <v>2920</v>
      </c>
      <c r="C512" s="840"/>
      <c r="D512" s="840"/>
      <c r="E512" s="840"/>
      <c r="F512" s="840"/>
      <c r="G512" s="1660">
        <f>'Part IV-Uses of Funds'!G98</f>
        <v>0</v>
      </c>
      <c r="H512" s="1660"/>
      <c r="I512" s="840"/>
      <c r="J512" s="855"/>
      <c r="K512" s="855"/>
      <c r="L512" s="917"/>
      <c r="M512" s="855"/>
      <c r="N512" s="855"/>
      <c r="O512" s="840"/>
      <c r="P512" s="855"/>
      <c r="Q512" s="855"/>
      <c r="R512" s="840"/>
      <c r="S512" s="1660">
        <f>'Part IV-Uses of Funds'!S98</f>
        <v>0</v>
      </c>
      <c r="T512" s="1660"/>
    </row>
    <row r="513" spans="1:20">
      <c r="A513" s="840"/>
      <c r="B513" s="840" t="s">
        <v>553</v>
      </c>
      <c r="C513" s="840"/>
      <c r="D513" s="840"/>
      <c r="E513" s="1684">
        <f>'DCA Underwriting Assumptions'!$Q$40*$J$173</f>
        <v>0</v>
      </c>
      <c r="F513" s="1684"/>
      <c r="G513" s="1660">
        <f>'Part IV-Uses of Funds'!G99</f>
        <v>63944</v>
      </c>
      <c r="H513" s="1660"/>
      <c r="I513" s="840"/>
      <c r="J513" s="855"/>
      <c r="K513" s="855"/>
      <c r="L513" s="855"/>
      <c r="M513" s="855"/>
      <c r="N513" s="855"/>
      <c r="O513" s="840"/>
      <c r="P513" s="855"/>
      <c r="Q513" s="855"/>
      <c r="R513" s="840"/>
      <c r="S513" s="1660">
        <f>'Part IV-Uses of Funds'!S99</f>
        <v>63944</v>
      </c>
      <c r="T513" s="1660"/>
    </row>
    <row r="514" spans="1:20">
      <c r="A514" s="840"/>
      <c r="B514" s="840" t="s">
        <v>804</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109100</v>
      </c>
      <c r="F514" s="1684"/>
      <c r="G514" s="1660">
        <f>'Part IV-Uses of Funds'!G100</f>
        <v>105600</v>
      </c>
      <c r="H514" s="1660"/>
      <c r="I514" s="840"/>
      <c r="J514" s="845"/>
      <c r="K514" s="845"/>
      <c r="L514" s="845"/>
      <c r="M514" s="845"/>
      <c r="N514" s="845"/>
      <c r="O514" s="845"/>
      <c r="P514" s="845"/>
      <c r="Q514" s="845"/>
      <c r="R514" s="840"/>
      <c r="S514" s="1660">
        <f>'Part IV-Uses of Funds'!S100</f>
        <v>105600</v>
      </c>
      <c r="T514" s="1660"/>
    </row>
    <row r="515" spans="1:20">
      <c r="A515" s="840"/>
      <c r="B515" s="840" t="s">
        <v>516</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2505</v>
      </c>
      <c r="C516" s="840"/>
      <c r="D516" s="840"/>
      <c r="E516" s="840"/>
      <c r="F516" s="840"/>
      <c r="G516" s="1660">
        <f>'Part IV-Uses of Funds'!G102</f>
        <v>0</v>
      </c>
      <c r="H516" s="1660"/>
      <c r="I516" s="840"/>
      <c r="J516" s="845"/>
      <c r="K516" s="845"/>
      <c r="L516" s="845"/>
      <c r="M516" s="845"/>
      <c r="N516" s="845"/>
      <c r="O516" s="845"/>
      <c r="P516" s="845"/>
      <c r="Q516" s="845"/>
      <c r="R516" s="840"/>
      <c r="S516" s="1660">
        <f>'Part IV-Uses of Funds'!S102</f>
        <v>0</v>
      </c>
      <c r="T516" s="1660"/>
    </row>
    <row r="517" spans="1:20" ht="15.75">
      <c r="A517" s="902" t="str">
        <f>IF(AND(G517&gt;0,OR(C517="",C517="&lt;Enter detailed description here; use Comments section if needed&gt;")),"X","")</f>
        <v/>
      </c>
      <c r="B517" s="840" t="s">
        <v>792</v>
      </c>
      <c r="C517" s="1623" t="str">
        <f>'Part IV-Uses of Funds'!C103</f>
        <v>Equity Legal</v>
      </c>
      <c r="D517" s="1623"/>
      <c r="E517" s="1623"/>
      <c r="F517" s="1623"/>
      <c r="G517" s="1660">
        <f>'Part IV-Uses of Funds'!G103</f>
        <v>30000</v>
      </c>
      <c r="H517" s="1660"/>
      <c r="I517" s="840"/>
      <c r="J517" s="845"/>
      <c r="K517" s="845"/>
      <c r="L517" s="845"/>
      <c r="M517" s="845"/>
      <c r="N517" s="845"/>
      <c r="O517" s="845"/>
      <c r="P517" s="845"/>
      <c r="Q517" s="845"/>
      <c r="R517" s="840"/>
      <c r="S517" s="1660">
        <f>'Part IV-Uses of Funds'!S103</f>
        <v>0</v>
      </c>
      <c r="T517" s="1660"/>
    </row>
    <row r="518" spans="1:20" ht="15.75">
      <c r="A518" s="902" t="str">
        <f>IF(AND(G518&gt;0,OR(C518="",C518="&lt;Enter detailed description here; use Comments section if needed&gt;")),"X","")</f>
        <v/>
      </c>
      <c r="B518" s="840" t="s">
        <v>792</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200</v>
      </c>
      <c r="G519" s="1660">
        <f>SUM(G510:H518)</f>
        <v>208044</v>
      </c>
      <c r="H519" s="1660"/>
      <c r="I519" s="840"/>
      <c r="J519" s="855"/>
      <c r="K519" s="855"/>
      <c r="L519" s="855"/>
      <c r="M519" s="855"/>
      <c r="N519" s="855"/>
      <c r="O519" s="840"/>
      <c r="P519" s="855"/>
      <c r="Q519" s="855"/>
      <c r="R519" s="840"/>
      <c r="S519" s="1660">
        <f>SUM(S510:T518)</f>
        <v>178044</v>
      </c>
      <c r="T519" s="1660"/>
    </row>
    <row r="520" spans="1:20">
      <c r="A520" s="840"/>
      <c r="B520" s="843" t="s">
        <v>2449</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295</v>
      </c>
      <c r="C521" s="840"/>
      <c r="D521" s="840"/>
      <c r="E521" s="840"/>
      <c r="F521" s="840"/>
      <c r="G521" s="1660">
        <f>'Part IV-Uses of Funds'!G107</f>
        <v>0</v>
      </c>
      <c r="H521" s="1660"/>
      <c r="I521" s="840"/>
      <c r="J521" s="1683"/>
      <c r="K521" s="1683"/>
      <c r="L521" s="855"/>
      <c r="M521" s="1683"/>
      <c r="N521" s="1683"/>
      <c r="O521" s="840"/>
      <c r="P521" s="1683"/>
      <c r="Q521" s="1683"/>
      <c r="R521" s="840"/>
      <c r="S521" s="1660">
        <f>'Part IV-Uses of Funds'!S107</f>
        <v>0</v>
      </c>
      <c r="T521" s="1660"/>
    </row>
    <row r="522" spans="1:20">
      <c r="A522" s="840"/>
      <c r="B522" s="840" t="s">
        <v>297</v>
      </c>
      <c r="C522" s="840"/>
      <c r="D522" s="840"/>
      <c r="E522" s="840"/>
      <c r="F522" s="840"/>
      <c r="G522" s="1660">
        <f>'Part IV-Uses of Funds'!G108</f>
        <v>0</v>
      </c>
      <c r="H522" s="1660"/>
      <c r="I522" s="840"/>
      <c r="J522" s="1683"/>
      <c r="K522" s="1683"/>
      <c r="L522" s="855"/>
      <c r="M522" s="1683"/>
      <c r="N522" s="1683"/>
      <c r="O522" s="840"/>
      <c r="P522" s="1683"/>
      <c r="Q522" s="1683"/>
      <c r="R522" s="840"/>
      <c r="S522" s="1660">
        <f>'Part IV-Uses of Funds'!S108</f>
        <v>0</v>
      </c>
      <c r="T522" s="1660"/>
    </row>
    <row r="523" spans="1:20">
      <c r="A523" s="840"/>
      <c r="B523" s="840" t="s">
        <v>2543</v>
      </c>
      <c r="C523" s="840"/>
      <c r="D523" s="840"/>
      <c r="E523" s="840"/>
      <c r="F523" s="840"/>
      <c r="G523" s="1660">
        <f>'Part IV-Uses of Funds'!G109</f>
        <v>0</v>
      </c>
      <c r="H523" s="1660"/>
      <c r="I523" s="840"/>
      <c r="J523" s="1683"/>
      <c r="K523" s="1683"/>
      <c r="L523" s="855"/>
      <c r="M523" s="1683"/>
      <c r="N523" s="1683"/>
      <c r="O523" s="840"/>
      <c r="P523" s="1683"/>
      <c r="Q523" s="1683"/>
      <c r="R523" s="840"/>
      <c r="S523" s="1660">
        <f>'Part IV-Uses of Funds'!S109</f>
        <v>0</v>
      </c>
      <c r="T523" s="1660"/>
    </row>
    <row r="524" spans="1:20" ht="15.75">
      <c r="A524" s="902" t="str">
        <f>IF(AND(G524&gt;0,OR(C524="",C524="&lt;Enter detailed description here; use Comments section if needed&gt;")),"X","")</f>
        <v/>
      </c>
      <c r="B524" s="840" t="s">
        <v>792</v>
      </c>
      <c r="C524" s="1623" t="str">
        <f>'Part IV-Uses of Funds'!C110</f>
        <v>&lt;Enter detailed description here; use Comments section if needed&gt;</v>
      </c>
      <c r="D524" s="1623"/>
      <c r="E524" s="1623"/>
      <c r="F524" s="1623"/>
      <c r="G524" s="1660">
        <f>'Part IV-Uses of Funds'!G110</f>
        <v>0</v>
      </c>
      <c r="H524" s="1660"/>
      <c r="I524" s="840"/>
      <c r="J524" s="1683"/>
      <c r="K524" s="1683"/>
      <c r="L524" s="855"/>
      <c r="M524" s="1683"/>
      <c r="N524" s="1683"/>
      <c r="O524" s="840"/>
      <c r="P524" s="1683"/>
      <c r="Q524" s="1683"/>
      <c r="R524" s="840"/>
      <c r="S524" s="1660">
        <f>'Part IV-Uses of Funds'!S110</f>
        <v>0</v>
      </c>
      <c r="T524" s="1660"/>
    </row>
    <row r="525" spans="1:20">
      <c r="A525" s="840"/>
      <c r="B525" s="840"/>
      <c r="C525" s="840"/>
      <c r="D525" s="840"/>
      <c r="E525" s="840"/>
      <c r="F525" s="903" t="s">
        <v>200</v>
      </c>
      <c r="G525" s="1660">
        <f>SUM(G521:H524)</f>
        <v>0</v>
      </c>
      <c r="H525" s="1660"/>
      <c r="I525" s="840"/>
      <c r="J525" s="1683"/>
      <c r="K525" s="1683"/>
      <c r="L525" s="855"/>
      <c r="M525" s="1683"/>
      <c r="N525" s="1683"/>
      <c r="O525" s="840"/>
      <c r="P525" s="1683"/>
      <c r="Q525" s="1683"/>
      <c r="R525" s="840"/>
      <c r="S525" s="1660">
        <f>SUM(S521:T524)</f>
        <v>0</v>
      </c>
      <c r="T525" s="1660"/>
    </row>
    <row r="526" spans="1:20">
      <c r="A526" s="840"/>
      <c r="B526" s="843" t="s">
        <v>298</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1990</v>
      </c>
      <c r="C527" s="840"/>
      <c r="D527" s="840"/>
      <c r="E527" s="840"/>
      <c r="F527" s="891" t="e">
        <f>G527/$G$116</f>
        <v>#DIV/0!</v>
      </c>
      <c r="G527" s="1660">
        <f>'Part IV-Uses of Funds'!G113</f>
        <v>0</v>
      </c>
      <c r="H527" s="1660"/>
      <c r="I527" s="840"/>
      <c r="J527" s="1660">
        <f>'Part IV-Uses of Funds'!J113</f>
        <v>0</v>
      </c>
      <c r="K527" s="1660"/>
      <c r="L527" s="904"/>
      <c r="M527" s="1660">
        <f>'Part IV-Uses of Funds'!M113</f>
        <v>0</v>
      </c>
      <c r="N527" s="1660"/>
      <c r="O527" s="840"/>
      <c r="P527" s="1660">
        <f>'Part IV-Uses of Funds'!P113</f>
        <v>0</v>
      </c>
      <c r="Q527" s="1660"/>
      <c r="R527" s="840"/>
      <c r="S527" s="1660">
        <f>'Part IV-Uses of Funds'!S113</f>
        <v>0</v>
      </c>
      <c r="T527" s="1660"/>
    </row>
    <row r="528" spans="1:20">
      <c r="A528" s="840"/>
      <c r="B528" s="840" t="s">
        <v>1991</v>
      </c>
      <c r="C528" s="840"/>
      <c r="D528" s="840"/>
      <c r="E528" s="840"/>
      <c r="F528" s="891" t="e">
        <f>G528/$G$116</f>
        <v>#DIV/0!</v>
      </c>
      <c r="G528" s="1660">
        <f>'Part IV-Uses of Funds'!G114</f>
        <v>0</v>
      </c>
      <c r="H528" s="1660"/>
      <c r="I528" s="840"/>
      <c r="J528" s="1660">
        <f>'Part IV-Uses of Funds'!J114</f>
        <v>0</v>
      </c>
      <c r="K528" s="1660"/>
      <c r="L528" s="855"/>
      <c r="M528" s="1660">
        <f>'Part IV-Uses of Funds'!M114</f>
        <v>0</v>
      </c>
      <c r="N528" s="1660"/>
      <c r="O528" s="840"/>
      <c r="P528" s="1660">
        <f>'Part IV-Uses of Funds'!P114</f>
        <v>0</v>
      </c>
      <c r="Q528" s="1660"/>
      <c r="R528" s="840"/>
      <c r="S528" s="1660">
        <f>'Part IV-Uses of Funds'!S114</f>
        <v>0</v>
      </c>
      <c r="T528" s="1660"/>
    </row>
    <row r="529" spans="1:20">
      <c r="A529" s="840"/>
      <c r="B529" s="840" t="s">
        <v>1983</v>
      </c>
      <c r="C529" s="840"/>
      <c r="D529" s="840"/>
      <c r="E529" s="840"/>
      <c r="F529" s="891" t="e">
        <f>G529/$G$116</f>
        <v>#DIV/0!</v>
      </c>
      <c r="G529" s="1660">
        <f>'Part IV-Uses of Funds'!G115</f>
        <v>1684874</v>
      </c>
      <c r="H529" s="1660"/>
      <c r="I529" s="840"/>
      <c r="J529" s="1660">
        <f>'Part IV-Uses of Funds'!J115</f>
        <v>0</v>
      </c>
      <c r="K529" s="1660"/>
      <c r="L529" s="855"/>
      <c r="M529" s="1660">
        <f>'Part IV-Uses of Funds'!M115</f>
        <v>0</v>
      </c>
      <c r="N529" s="1660"/>
      <c r="O529" s="840"/>
      <c r="P529" s="1660">
        <f>'Part IV-Uses of Funds'!P115</f>
        <v>1684874</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200</v>
      </c>
      <c r="G530" s="1660">
        <f>SUM(G527:H529)</f>
        <v>1684874</v>
      </c>
      <c r="H530" s="1660"/>
      <c r="I530" s="840"/>
      <c r="J530" s="1660">
        <f>SUM(J527:K529)</f>
        <v>0</v>
      </c>
      <c r="K530" s="1660"/>
      <c r="L530" s="855"/>
      <c r="M530" s="1660">
        <f>SUM(M527:N529)</f>
        <v>0</v>
      </c>
      <c r="N530" s="1660"/>
      <c r="O530" s="840"/>
      <c r="P530" s="1660">
        <f>SUM(P527:Q529)</f>
        <v>1684874</v>
      </c>
      <c r="Q530" s="1660"/>
      <c r="R530" s="840"/>
      <c r="S530" s="1660">
        <f>SUM(S527:T529)</f>
        <v>0</v>
      </c>
      <c r="T530" s="1660"/>
    </row>
    <row r="531" spans="1:20">
      <c r="A531" s="840"/>
      <c r="B531" s="843" t="s">
        <v>1396</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265</v>
      </c>
      <c r="C532" s="840"/>
      <c r="D532" s="840"/>
      <c r="E532" s="840"/>
      <c r="F532" s="840"/>
      <c r="G532" s="1660">
        <f>'Part IV-Uses of Funds'!G118</f>
        <v>25000</v>
      </c>
      <c r="H532" s="1660"/>
      <c r="I532" s="840"/>
      <c r="J532" s="917"/>
      <c r="K532" s="917"/>
      <c r="L532" s="917"/>
      <c r="M532" s="917"/>
      <c r="N532" s="917"/>
      <c r="O532" s="840"/>
      <c r="P532" s="917"/>
      <c r="Q532" s="917"/>
      <c r="R532" s="840"/>
      <c r="S532" s="1660">
        <f>'Part IV-Uses of Funds'!S118</f>
        <v>25000</v>
      </c>
      <c r="T532" s="1660"/>
    </row>
    <row r="533" spans="1:20">
      <c r="A533" s="840"/>
      <c r="B533" s="840" t="s">
        <v>1643</v>
      </c>
      <c r="C533" s="840"/>
      <c r="D533" s="840"/>
      <c r="E533" s="840"/>
      <c r="F533" s="918">
        <f>+'Part VI-Revenues &amp; Expenses'!P571*('DCA Underwriting Assumptions'!$Q$60/12)</f>
        <v>0</v>
      </c>
      <c r="G533" s="1660">
        <f>'Part IV-Uses of Funds'!G119</f>
        <v>120418</v>
      </c>
      <c r="H533" s="1660"/>
      <c r="I533" s="840"/>
      <c r="J533" s="1683"/>
      <c r="K533" s="1683"/>
      <c r="L533" s="855"/>
      <c r="M533" s="1683"/>
      <c r="N533" s="1683"/>
      <c r="O533" s="840"/>
      <c r="P533" s="1683"/>
      <c r="Q533" s="1683"/>
      <c r="R533" s="840"/>
      <c r="S533" s="1660">
        <f>'Part IV-Uses of Funds'!S119</f>
        <v>120418</v>
      </c>
      <c r="T533" s="1660"/>
    </row>
    <row r="534" spans="1:20">
      <c r="A534" s="840"/>
      <c r="B534" s="840" t="s">
        <v>725</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356203</v>
      </c>
      <c r="H534" s="1660"/>
      <c r="I534" s="840"/>
      <c r="J534" s="917"/>
      <c r="K534" s="917"/>
      <c r="L534" s="917"/>
      <c r="M534" s="917"/>
      <c r="N534" s="917"/>
      <c r="O534" s="840"/>
      <c r="P534" s="917"/>
      <c r="Q534" s="917"/>
      <c r="R534" s="840"/>
      <c r="S534" s="1660">
        <f>'Part IV-Uses of Funds'!S120</f>
        <v>356203</v>
      </c>
      <c r="T534" s="1660"/>
    </row>
    <row r="535" spans="1:20">
      <c r="A535" s="840"/>
      <c r="B535" s="840" t="s">
        <v>1323</v>
      </c>
      <c r="C535" s="840"/>
      <c r="D535" s="840"/>
      <c r="E535" s="840"/>
      <c r="F535" s="840"/>
      <c r="G535" s="1660">
        <f>'Part IV-Uses of Funds'!G121</f>
        <v>0</v>
      </c>
      <c r="H535" s="1660"/>
      <c r="I535" s="840"/>
      <c r="J535" s="917"/>
      <c r="K535" s="917"/>
      <c r="L535" s="917"/>
      <c r="M535" s="917"/>
      <c r="N535" s="917"/>
      <c r="O535" s="840"/>
      <c r="P535" s="917"/>
      <c r="Q535" s="917"/>
      <c r="R535" s="840"/>
      <c r="S535" s="1660">
        <f>'Part IV-Uses of Funds'!S121</f>
        <v>0</v>
      </c>
      <c r="T535" s="1660"/>
    </row>
    <row r="536" spans="1:20">
      <c r="A536" s="840"/>
      <c r="B536" s="840" t="s">
        <v>1324</v>
      </c>
      <c r="C536" s="840"/>
      <c r="D536" s="840"/>
      <c r="E536" s="840" t="s">
        <v>3140</v>
      </c>
      <c r="F536" s="920">
        <f>G536/'Part VI-Revenues &amp; Expenses'!$M$62</f>
        <v>454.54545454545456</v>
      </c>
      <c r="G536" s="1660">
        <f>'Part IV-Uses of Funds'!G122</f>
        <v>60000</v>
      </c>
      <c r="H536" s="1660"/>
      <c r="I536" s="840"/>
      <c r="J536" s="1660">
        <f>'Part IV-Uses of Funds'!J122</f>
        <v>0</v>
      </c>
      <c r="K536" s="1660"/>
      <c r="L536" s="855"/>
      <c r="M536" s="1660">
        <f>'Part IV-Uses of Funds'!M122</f>
        <v>0</v>
      </c>
      <c r="N536" s="1660"/>
      <c r="O536" s="840"/>
      <c r="P536" s="1660">
        <f>'Part IV-Uses of Funds'!P122</f>
        <v>60000</v>
      </c>
      <c r="Q536" s="1660"/>
      <c r="R536" s="840"/>
      <c r="S536" s="1660">
        <f>'Part IV-Uses of Funds'!S122</f>
        <v>0</v>
      </c>
      <c r="T536" s="1660"/>
    </row>
    <row r="537" spans="1:20" ht="15.75">
      <c r="A537" s="902" t="str">
        <f>IF(AND(G537&gt;0,OR(C537="",C537="&lt;Enter detailed description here; use Comments section if needed&gt;")),"X","")</f>
        <v/>
      </c>
      <c r="B537" s="840" t="s">
        <v>792</v>
      </c>
      <c r="C537" s="1623" t="str">
        <f>'Part IV-Uses of Funds'!C123</f>
        <v>Fitness Equipment/Computers</v>
      </c>
      <c r="D537" s="1623"/>
      <c r="E537" s="1623"/>
      <c r="F537" s="1623"/>
      <c r="G537" s="1660">
        <f>'Part IV-Uses of Funds'!G123</f>
        <v>25000</v>
      </c>
      <c r="H537" s="1660"/>
      <c r="I537" s="840"/>
      <c r="J537" s="1660">
        <f>'Part IV-Uses of Funds'!J123</f>
        <v>0</v>
      </c>
      <c r="K537" s="1660"/>
      <c r="L537" s="855"/>
      <c r="M537" s="1660">
        <f>'Part IV-Uses of Funds'!M123</f>
        <v>0</v>
      </c>
      <c r="N537" s="1660"/>
      <c r="O537" s="840"/>
      <c r="P537" s="1660">
        <f>'Part IV-Uses of Funds'!P123</f>
        <v>25000</v>
      </c>
      <c r="Q537" s="1660"/>
      <c r="R537" s="840"/>
      <c r="S537" s="1660">
        <f>'Part IV-Uses of Funds'!S123</f>
        <v>0</v>
      </c>
      <c r="T537" s="1660"/>
    </row>
    <row r="538" spans="1:20">
      <c r="A538" s="840"/>
      <c r="B538" s="921"/>
      <c r="C538" s="840"/>
      <c r="D538" s="840"/>
      <c r="E538" s="840"/>
      <c r="F538" s="903" t="s">
        <v>200</v>
      </c>
      <c r="G538" s="1660">
        <f>SUM(G532:H537)</f>
        <v>586621</v>
      </c>
      <c r="H538" s="1660"/>
      <c r="I538" s="840"/>
      <c r="J538" s="1660">
        <f>SUM(J536:K537)</f>
        <v>0</v>
      </c>
      <c r="K538" s="1660"/>
      <c r="L538" s="855"/>
      <c r="M538" s="1660">
        <f>SUM(M536:N537)</f>
        <v>0</v>
      </c>
      <c r="N538" s="1660"/>
      <c r="O538" s="840"/>
      <c r="P538" s="1660">
        <f>SUM(P536:Q537)</f>
        <v>85000</v>
      </c>
      <c r="Q538" s="1660"/>
      <c r="R538" s="840"/>
      <c r="S538" s="1660">
        <f>SUM(S532:T537)</f>
        <v>501621</v>
      </c>
      <c r="T538" s="1660"/>
    </row>
    <row r="539" spans="1:20">
      <c r="A539" s="840"/>
      <c r="B539" s="843" t="s">
        <v>652</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653</v>
      </c>
      <c r="C540" s="847"/>
      <c r="D540" s="840"/>
      <c r="E540" s="840"/>
      <c r="F540" s="840"/>
      <c r="G540" s="1660">
        <f>'Part IV-Uses of Funds'!G126</f>
        <v>264000</v>
      </c>
      <c r="H540" s="1660"/>
      <c r="I540" s="840"/>
      <c r="J540" s="1660">
        <f>'Part IV-Uses of Funds'!J126</f>
        <v>0</v>
      </c>
      <c r="K540" s="1660"/>
      <c r="L540" s="904"/>
      <c r="M540" s="1660">
        <f>'Part IV-Uses of Funds'!M126</f>
        <v>0</v>
      </c>
      <c r="N540" s="1660"/>
      <c r="O540" s="840"/>
      <c r="P540" s="1660">
        <f>'Part IV-Uses of Funds'!P126</f>
        <v>264000</v>
      </c>
      <c r="Q540" s="1660"/>
      <c r="R540" s="840"/>
      <c r="S540" s="1660">
        <f>'Part IV-Uses of Funds'!S126</f>
        <v>0</v>
      </c>
      <c r="T540" s="1660"/>
    </row>
    <row r="541" spans="1:20" ht="14.25" customHeight="1">
      <c r="A541" s="902" t="str">
        <f>IF(AND(G541&gt;0,OR(C541="",C541="&lt;Enter detailed description here; use Comments section if needed&gt;")),"X","")</f>
        <v/>
      </c>
      <c r="B541" s="840" t="s">
        <v>792</v>
      </c>
      <c r="C541" s="1623" t="str">
        <f>'Part IV-Uses of Funds'!C127</f>
        <v>&lt;Enter detailed description here; use Comments section if needed&gt;</v>
      </c>
      <c r="D541" s="1623"/>
      <c r="E541" s="1623"/>
      <c r="F541" s="1623"/>
      <c r="G541" s="1660">
        <f>'Part IV-Uses of Funds'!G127</f>
        <v>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0</v>
      </c>
      <c r="T541" s="1660"/>
    </row>
    <row r="542" spans="1:20">
      <c r="A542" s="840"/>
      <c r="B542" s="840"/>
      <c r="C542" s="847"/>
      <c r="D542" s="840"/>
      <c r="E542" s="840"/>
      <c r="F542" s="903" t="s">
        <v>200</v>
      </c>
      <c r="G542" s="1660">
        <f>SUM(G540:H541)</f>
        <v>264000</v>
      </c>
      <c r="H542" s="1660"/>
      <c r="I542" s="840"/>
      <c r="J542" s="1660">
        <f>SUM(J540:K541)</f>
        <v>0</v>
      </c>
      <c r="K542" s="1660"/>
      <c r="L542" s="855"/>
      <c r="M542" s="1660">
        <f>SUM(M540:N541)</f>
        <v>0</v>
      </c>
      <c r="N542" s="1660"/>
      <c r="O542" s="840"/>
      <c r="P542" s="1660">
        <f>SUM(P540:Q541)</f>
        <v>264000</v>
      </c>
      <c r="Q542" s="1660"/>
      <c r="R542" s="840"/>
      <c r="S542" s="1660">
        <f>SUM(S540:T541)</f>
        <v>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3664</v>
      </c>
      <c r="C544" s="840"/>
      <c r="D544" s="840"/>
      <c r="E544" s="840"/>
      <c r="F544" s="840"/>
      <c r="G544" s="1685">
        <f>G431+G437+G441+G447+G452+G455+G461+G478+G491+G497+G505+G519+G525+G530+G538+G542</f>
        <v>13472490.989599999</v>
      </c>
      <c r="H544" s="1685"/>
      <c r="I544" s="840"/>
      <c r="J544" s="1685">
        <f>J431+J437+J441+J447+J452+J455+J461+J478+J491+J497+J505+J519+J525+J530+J538+J542</f>
        <v>0</v>
      </c>
      <c r="K544" s="1685"/>
      <c r="L544" s="840"/>
      <c r="M544" s="1685">
        <f>M431+M437+M441+M447+M452+M455+M461+M478+M491+M497+M505+M519+M525+M530+M538+M542</f>
        <v>2240000</v>
      </c>
      <c r="N544" s="1685"/>
      <c r="O544" s="840"/>
      <c r="P544" s="1685">
        <f>P431+P437+P441+P447+P452+P455+P461+P478+P491+P497+P505+P519+P525+P530+P538+P542</f>
        <v>9584387.989599999</v>
      </c>
      <c r="Q544" s="1685"/>
      <c r="R544" s="840"/>
      <c r="S544" s="1685">
        <f>S431+S437+S441+S447+S452+S455+S461+S478+S491+S497+S505+S519+S525+S530+S538+S542</f>
        <v>1525103</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3665</v>
      </c>
      <c r="C546" s="912"/>
      <c r="D546" s="1686">
        <f>G544/'Part VI-Revenues &amp; Expenses'!$M$62</f>
        <v>102064.32567878788</v>
      </c>
      <c r="E546" s="1686"/>
      <c r="F546" s="924" t="s">
        <v>3154</v>
      </c>
      <c r="G546" s="1686">
        <f>G544/'Part VI-Revenues &amp; Expenses'!$M$100</f>
        <v>126.86439215789672</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791</v>
      </c>
      <c r="B549" s="927" t="s">
        <v>1521</v>
      </c>
      <c r="C549" s="839"/>
      <c r="D549" s="855"/>
      <c r="E549" s="855"/>
      <c r="F549" s="855"/>
      <c r="G549" s="840"/>
      <c r="H549" s="840"/>
      <c r="I549" s="928"/>
      <c r="J549" s="1676" t="s">
        <v>286</v>
      </c>
      <c r="K549" s="1676"/>
      <c r="L549" s="840"/>
      <c r="M549" s="1676" t="s">
        <v>103</v>
      </c>
      <c r="N549" s="1676"/>
      <c r="O549" s="840"/>
      <c r="P549" s="1676" t="s">
        <v>287</v>
      </c>
      <c r="Q549" s="1676"/>
      <c r="R549" s="840"/>
      <c r="S549" s="840"/>
      <c r="T549" s="840"/>
    </row>
    <row r="550" spans="1:20">
      <c r="A550" s="840"/>
      <c r="B550" s="841" t="s">
        <v>2183</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2291</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1993</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1994</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268</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1711</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1995</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2491</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1915</v>
      </c>
      <c r="C561" s="840"/>
      <c r="D561" s="840"/>
      <c r="E561" s="840"/>
      <c r="F561" s="840"/>
      <c r="G561" s="840"/>
      <c r="H561" s="840"/>
      <c r="I561" s="840"/>
      <c r="J561" s="1687">
        <f>J544</f>
        <v>0</v>
      </c>
      <c r="K561" s="1687"/>
      <c r="L561" s="840"/>
      <c r="M561" s="1687">
        <f>M544</f>
        <v>2240000</v>
      </c>
      <c r="N561" s="1687"/>
      <c r="O561" s="840"/>
      <c r="P561" s="1687">
        <f>P544</f>
        <v>9584387.989599999</v>
      </c>
      <c r="Q561" s="1687"/>
      <c r="R561" s="840"/>
      <c r="S561" s="840"/>
      <c r="T561" s="840"/>
    </row>
    <row r="562" spans="1:20">
      <c r="A562" s="840"/>
      <c r="B562" s="840" t="s">
        <v>2366</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2367</v>
      </c>
      <c r="C563" s="840"/>
      <c r="D563" s="840"/>
      <c r="E563" s="840"/>
      <c r="F563" s="840"/>
      <c r="G563" s="840"/>
      <c r="H563" s="840"/>
      <c r="I563" s="840"/>
      <c r="J563" s="1687">
        <f>J561-J562</f>
        <v>0</v>
      </c>
      <c r="K563" s="1687"/>
      <c r="L563" s="840"/>
      <c r="M563" s="1687">
        <f>M561</f>
        <v>2240000</v>
      </c>
      <c r="N563" s="1687"/>
      <c r="O563" s="840"/>
      <c r="P563" s="1687">
        <f>P561-P562</f>
        <v>9584387.989599999</v>
      </c>
      <c r="Q563" s="1687"/>
      <c r="R563" s="840"/>
      <c r="S563" s="840"/>
      <c r="T563" s="840"/>
    </row>
    <row r="564" spans="1:20">
      <c r="A564" s="840"/>
      <c r="B564" s="840" t="s">
        <v>1588</v>
      </c>
      <c r="C564" s="840"/>
      <c r="D564" s="840"/>
      <c r="E564" s="840"/>
      <c r="F564" s="840"/>
      <c r="G564" s="844" t="s">
        <v>1834</v>
      </c>
      <c r="H564" s="1628" t="str">
        <f>'Part IV-Uses of Funds'!H150</f>
        <v>&lt;&lt;Select&gt;&gt;</v>
      </c>
      <c r="I564" s="1628"/>
      <c r="J564" s="1660">
        <f>'Part IV-Uses of Funds'!J150</f>
        <v>0</v>
      </c>
      <c r="K564" s="1660"/>
      <c r="L564" s="840"/>
      <c r="M564" s="1688"/>
      <c r="N564" s="1688"/>
      <c r="O564" s="840"/>
      <c r="P564" s="1660">
        <f>'Part IV-Uses of Funds'!P150</f>
        <v>1</v>
      </c>
      <c r="Q564" s="1660"/>
      <c r="R564" s="840"/>
      <c r="S564" s="840"/>
      <c r="T564" s="840"/>
    </row>
    <row r="565" spans="1:20">
      <c r="A565" s="840"/>
      <c r="B565" s="840" t="s">
        <v>2193</v>
      </c>
      <c r="C565" s="840"/>
      <c r="D565" s="840"/>
      <c r="E565" s="840"/>
      <c r="F565" s="840"/>
      <c r="G565" s="840"/>
      <c r="H565" s="840"/>
      <c r="I565" s="840"/>
      <c r="J565" s="1687">
        <f>J563*J564</f>
        <v>0</v>
      </c>
      <c r="K565" s="1687"/>
      <c r="L565" s="840"/>
      <c r="M565" s="1687">
        <f>+M563</f>
        <v>2240000</v>
      </c>
      <c r="N565" s="1687"/>
      <c r="O565" s="840"/>
      <c r="P565" s="1687">
        <f>P563*P564</f>
        <v>9584387.989599999</v>
      </c>
      <c r="Q565" s="1687"/>
      <c r="R565" s="840"/>
      <c r="S565" s="840"/>
      <c r="T565" s="840"/>
    </row>
    <row r="566" spans="1:20">
      <c r="A566" s="840"/>
      <c r="B566" s="840" t="s">
        <v>2724</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2184</v>
      </c>
      <c r="C567" s="840"/>
      <c r="D567" s="840"/>
      <c r="E567" s="840"/>
      <c r="F567" s="840"/>
      <c r="G567" s="840"/>
      <c r="H567" s="840"/>
      <c r="I567" s="840"/>
      <c r="J567" s="1687">
        <f>J565*J566</f>
        <v>0</v>
      </c>
      <c r="K567" s="1687"/>
      <c r="L567" s="840"/>
      <c r="M567" s="1687">
        <f>M565*M566</f>
        <v>2240000</v>
      </c>
      <c r="N567" s="1687"/>
      <c r="O567" s="840"/>
      <c r="P567" s="1687">
        <f>P565*P566</f>
        <v>9584387.989599999</v>
      </c>
      <c r="Q567" s="1687"/>
      <c r="R567" s="840"/>
      <c r="S567" s="840"/>
      <c r="T567" s="840"/>
    </row>
    <row r="568" spans="1:20">
      <c r="A568" s="840"/>
      <c r="B568" s="840" t="s">
        <v>2185</v>
      </c>
      <c r="C568" s="840"/>
      <c r="D568" s="840"/>
      <c r="E568" s="840"/>
      <c r="F568" s="840"/>
      <c r="G568" s="840"/>
      <c r="H568" s="840"/>
      <c r="I568" s="840"/>
      <c r="J568" s="1688">
        <f>'Part IV-Uses of Funds'!J154</f>
        <v>7.5800000000000006E-2</v>
      </c>
      <c r="K568" s="1688"/>
      <c r="L568" s="840"/>
      <c r="M568" s="1688">
        <f>'Part IV-Uses of Funds'!M154</f>
        <v>3.2500000000000001E-2</v>
      </c>
      <c r="N568" s="1688"/>
      <c r="O568" s="840"/>
      <c r="P568" s="1688">
        <f>'Part IV-Uses of Funds'!P154</f>
        <v>7.5800000000000006E-2</v>
      </c>
      <c r="Q568" s="1688"/>
      <c r="R568" s="840"/>
      <c r="S568" s="840"/>
      <c r="T568" s="840"/>
    </row>
    <row r="569" spans="1:20">
      <c r="A569" s="840"/>
      <c r="B569" s="840" t="s">
        <v>2725</v>
      </c>
      <c r="C569" s="840"/>
      <c r="D569" s="840"/>
      <c r="E569" s="840"/>
      <c r="F569" s="840"/>
      <c r="G569" s="840"/>
      <c r="H569" s="840"/>
      <c r="I569" s="840"/>
      <c r="J569" s="1687">
        <f>J567*J568</f>
        <v>0</v>
      </c>
      <c r="K569" s="1687"/>
      <c r="L569" s="840"/>
      <c r="M569" s="1687">
        <f>M567*M568</f>
        <v>72800</v>
      </c>
      <c r="N569" s="1687"/>
      <c r="O569" s="840"/>
      <c r="P569" s="1687">
        <f>P567*P568</f>
        <v>726496.60961168003</v>
      </c>
      <c r="Q569" s="1687"/>
      <c r="R569" s="840"/>
      <c r="S569" s="840"/>
      <c r="T569" s="840"/>
    </row>
    <row r="570" spans="1:20">
      <c r="A570" s="840"/>
      <c r="B570" s="843" t="s">
        <v>1519</v>
      </c>
      <c r="C570" s="840"/>
      <c r="D570" s="840"/>
      <c r="E570" s="840"/>
      <c r="F570" s="840"/>
      <c r="G570" s="840"/>
      <c r="H570" s="840"/>
      <c r="I570" s="840"/>
      <c r="J570" s="1675">
        <f>J569+M569+P569</f>
        <v>799296.60961168003</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793</v>
      </c>
      <c r="B572" s="930" t="s">
        <v>1522</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182</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3666</v>
      </c>
      <c r="C574" s="840"/>
      <c r="D574" s="840"/>
      <c r="E574" s="840"/>
      <c r="F574" s="840"/>
      <c r="G574" s="1689" t="str">
        <f>IF(J575&gt;J574,"TDC exceeds QAP PUCL!","")</f>
        <v/>
      </c>
      <c r="H574" s="1689"/>
      <c r="I574" s="1689"/>
      <c r="J574" s="1662">
        <f>'Part VIII-Threshold Criteria'!$P$47</f>
        <v>20135370</v>
      </c>
      <c r="K574" s="1662"/>
      <c r="L574" s="1662"/>
      <c r="M574" s="1597" t="s">
        <v>3020</v>
      </c>
      <c r="N574" s="1597"/>
      <c r="O574" s="1597"/>
      <c r="P574" s="1597"/>
      <c r="Q574" s="1597"/>
      <c r="R574" s="1597"/>
      <c r="S574" s="1614" t="s">
        <v>2977</v>
      </c>
      <c r="T574" s="1614"/>
    </row>
    <row r="575" spans="1:20">
      <c r="A575" s="840"/>
      <c r="B575" s="840" t="s">
        <v>3667</v>
      </c>
      <c r="C575" s="840"/>
      <c r="D575" s="840"/>
      <c r="E575" s="840"/>
      <c r="F575" s="840"/>
      <c r="G575" s="840"/>
      <c r="H575" s="840"/>
      <c r="I575" s="840"/>
      <c r="J575" s="1687">
        <f>'Part IV-Uses of Funds'!J161</f>
        <v>13472490.989599999</v>
      </c>
      <c r="K575" s="1687"/>
      <c r="L575" s="1687"/>
      <c r="M575" s="1597"/>
      <c r="N575" s="1597"/>
      <c r="O575" s="1597"/>
      <c r="P575" s="1597"/>
      <c r="Q575" s="1597"/>
      <c r="R575" s="1597"/>
      <c r="S575" s="1614"/>
      <c r="T575" s="1614"/>
    </row>
    <row r="576" spans="1:20">
      <c r="A576" s="840"/>
      <c r="B576" s="840" t="s">
        <v>278</v>
      </c>
      <c r="C576" s="840"/>
      <c r="D576" s="840"/>
      <c r="E576" s="840"/>
      <c r="F576" s="840"/>
      <c r="G576" s="840"/>
      <c r="H576" s="840"/>
      <c r="I576" s="840"/>
      <c r="J576" s="1687">
        <f>'Part III-Sources of Funds'!$H$49-'Part III-Sources of Funds'!H450-'Part III-Sources of Funds'!$H$37-'Part III-Sources of Funds'!$H$40-'Part III-Sources of Funds'!$H$41</f>
        <v>3426000</v>
      </c>
      <c r="K576" s="1687"/>
      <c r="L576" s="1687"/>
      <c r="M576" s="1597"/>
      <c r="N576" s="1597"/>
      <c r="O576" s="1597"/>
      <c r="P576" s="1597"/>
      <c r="Q576" s="1597"/>
      <c r="R576" s="1597"/>
      <c r="S576" s="1614"/>
      <c r="T576" s="1614"/>
    </row>
    <row r="577" spans="1:20" ht="13.5">
      <c r="A577" s="840"/>
      <c r="B577" s="840" t="s">
        <v>2379</v>
      </c>
      <c r="C577" s="840"/>
      <c r="D577" s="840"/>
      <c r="E577" s="840"/>
      <c r="F577" s="840"/>
      <c r="G577" s="840"/>
      <c r="H577" s="840"/>
      <c r="I577" s="840"/>
      <c r="J577" s="1687">
        <f>+J575-J576</f>
        <v>10046490.989599999</v>
      </c>
      <c r="K577" s="1687"/>
      <c r="L577" s="1687"/>
      <c r="M577" s="1607" t="s">
        <v>3021</v>
      </c>
      <c r="N577" s="1607"/>
      <c r="O577" s="1694">
        <f>'Part III-Sources of Funds'!H450</f>
        <v>0</v>
      </c>
      <c r="P577" s="1694"/>
      <c r="Q577" s="1694"/>
      <c r="R577" s="1694"/>
      <c r="S577" s="932" t="s">
        <v>1776</v>
      </c>
      <c r="T577" s="1102">
        <f>'Part IV-Uses of Funds'!T163</f>
        <v>0</v>
      </c>
    </row>
    <row r="578" spans="1:20" ht="13.5">
      <c r="A578" s="840"/>
      <c r="B578" s="840" t="s">
        <v>1373</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1374</v>
      </c>
      <c r="C579" s="840"/>
      <c r="D579" s="840"/>
      <c r="E579" s="840"/>
      <c r="F579" s="840"/>
      <c r="G579" s="840"/>
      <c r="H579" s="840"/>
      <c r="I579" s="840"/>
      <c r="J579" s="1687">
        <f>J577/10</f>
        <v>1004649.0989599999</v>
      </c>
      <c r="K579" s="1687"/>
      <c r="L579" s="1687"/>
      <c r="M579" s="845"/>
      <c r="N579" s="1628" t="s">
        <v>1375</v>
      </c>
      <c r="O579" s="1628"/>
      <c r="P579" s="840"/>
      <c r="Q579" s="1628" t="s">
        <v>1924</v>
      </c>
      <c r="R579" s="1628"/>
      <c r="S579" s="840"/>
      <c r="T579" s="840"/>
    </row>
    <row r="580" spans="1:20">
      <c r="A580" s="840"/>
      <c r="B580" s="840" t="s">
        <v>3668</v>
      </c>
      <c r="C580" s="840"/>
      <c r="D580" s="840"/>
      <c r="E580" s="840"/>
      <c r="F580" s="840"/>
      <c r="G580" s="840"/>
      <c r="H580" s="840"/>
      <c r="I580" s="840"/>
      <c r="J580" s="1692">
        <f>N580+Q580</f>
        <v>1.25</v>
      </c>
      <c r="K580" s="1692"/>
      <c r="L580" s="1692"/>
      <c r="M580" s="844" t="s">
        <v>1376</v>
      </c>
      <c r="N580" s="1693">
        <f>'Part IV-Uses of Funds'!N166</f>
        <v>0.87</v>
      </c>
      <c r="O580" s="1693"/>
      <c r="P580" s="844" t="s">
        <v>654</v>
      </c>
      <c r="Q580" s="1693">
        <f>'Part IV-Uses of Funds'!Q166</f>
        <v>0.38</v>
      </c>
      <c r="R580" s="1693"/>
      <c r="S580" s="840"/>
      <c r="T580" s="840"/>
    </row>
    <row r="581" spans="1:20">
      <c r="A581" s="840"/>
      <c r="B581" s="843" t="s">
        <v>1520</v>
      </c>
      <c r="C581" s="840"/>
      <c r="D581" s="840"/>
      <c r="E581" s="840"/>
      <c r="F581" s="840"/>
      <c r="G581" s="840"/>
      <c r="H581" s="840"/>
      <c r="I581" s="840"/>
      <c r="J581" s="1675">
        <f>IF(J580=0,"",J579/J580)</f>
        <v>803719.27916799986</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3669</v>
      </c>
      <c r="C583" s="840"/>
      <c r="D583" s="840"/>
      <c r="E583" s="840"/>
      <c r="F583" s="840"/>
      <c r="G583" s="840"/>
      <c r="H583" s="840"/>
      <c r="I583" s="840"/>
      <c r="J583" s="1675">
        <f>IF('Part I-Project Information'!I575 = "Yes",+MIN(J570,J581,'Part I-Project Information'!$O$161,'DCA Underwriting Assumptions'!$R$7),+MIN(J570,J581,'DCA Underwriting Assumptions'!$R$6))</f>
        <v>799296.60961168003</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3670</v>
      </c>
      <c r="C585" s="840"/>
      <c r="D585" s="840"/>
      <c r="E585" s="840"/>
      <c r="F585" s="840"/>
      <c r="G585" s="840"/>
      <c r="H585" s="840"/>
      <c r="I585" s="840"/>
      <c r="J585" s="1675">
        <f>'Part IV-Uses of Funds'!J171</f>
        <v>799296.5</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1917</v>
      </c>
      <c r="B587" s="930" t="s">
        <v>3671</v>
      </c>
      <c r="C587" s="840"/>
      <c r="D587" s="845"/>
      <c r="E587" s="845"/>
      <c r="F587" s="847"/>
      <c r="G587" s="840"/>
      <c r="H587" s="840"/>
      <c r="I587" s="840"/>
      <c r="J587" s="1675">
        <f>IF(J585="",0,+MIN(J583,J585))</f>
        <v>799296.5</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1919</v>
      </c>
      <c r="B590" s="866" t="s">
        <v>609</v>
      </c>
      <c r="C590" s="845"/>
      <c r="D590" s="845"/>
      <c r="E590" s="845"/>
      <c r="F590" s="845"/>
      <c r="G590" s="845"/>
      <c r="H590" s="845"/>
      <c r="I590" s="845"/>
      <c r="J590" s="845"/>
      <c r="K590" s="843" t="s">
        <v>564</v>
      </c>
      <c r="L590" s="843" t="s">
        <v>82</v>
      </c>
      <c r="M590" s="845"/>
      <c r="N590" s="845"/>
      <c r="O590" s="845"/>
      <c r="P590" s="845"/>
      <c r="Q590" s="845"/>
      <c r="R590" s="845"/>
      <c r="S590" s="845"/>
      <c r="T590" s="845"/>
    </row>
    <row r="591" spans="1:20" ht="13.5">
      <c r="A591" s="1691" t="str">
        <f>'Part IV-Uses of Funds'!A177</f>
        <v>* To all applicants: please provide methodology for determining applicable construction hard costs.</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2014-051 Macon Gardens, , Laurens-Treutlen Joint Development Authority County</v>
      </c>
      <c r="B594" s="1617"/>
      <c r="C594" s="1617"/>
      <c r="D594" s="1617"/>
      <c r="E594" s="1617"/>
      <c r="F594" s="1617"/>
      <c r="G594" s="1617"/>
      <c r="H594" s="1617"/>
      <c r="I594" s="1617"/>
      <c r="J594" s="1617"/>
      <c r="K594" s="1617"/>
      <c r="L594" s="1617"/>
      <c r="M594" s="1617"/>
    </row>
    <row r="596" spans="1:13">
      <c r="F596" s="585" t="s">
        <v>549</v>
      </c>
      <c r="I596" s="935" t="str">
        <f>VLOOKUP('Part I-Project Information'!$J$28,'Part I-Project Information'!$C$179:$D$338,2)</f>
        <v>Middle</v>
      </c>
    </row>
    <row r="598" spans="1:13">
      <c r="A598" s="838" t="s">
        <v>658</v>
      </c>
      <c r="B598" s="838" t="s">
        <v>2374</v>
      </c>
      <c r="F598" s="579" t="s">
        <v>2691</v>
      </c>
      <c r="I598" s="1696" t="str">
        <f>'Part V-Utility Allowances'!I5</f>
        <v>HUD</v>
      </c>
      <c r="J598" s="1696"/>
      <c r="K598" s="1696"/>
      <c r="L598" s="1696"/>
      <c r="M598" s="1696"/>
    </row>
    <row r="599" spans="1:13">
      <c r="A599" s="838"/>
      <c r="F599" s="579" t="s">
        <v>678</v>
      </c>
      <c r="I599" s="1698" t="str">
        <f>'Part V-Utility Allowances'!I6</f>
        <v>July 1. 2013</v>
      </c>
      <c r="J599" s="1698"/>
      <c r="K599" s="834" t="s">
        <v>574</v>
      </c>
      <c r="L599" s="1696" t="str">
        <f>'Part V-Utility Allowances'!L6</f>
        <v>2-Story</v>
      </c>
      <c r="M599" s="1696"/>
    </row>
    <row r="600" spans="1:13">
      <c r="A600" s="838"/>
    </row>
    <row r="601" spans="1:13">
      <c r="A601" s="838"/>
      <c r="B601" s="838"/>
      <c r="C601" s="838"/>
      <c r="D601" s="838"/>
      <c r="E601" s="838"/>
      <c r="F601" s="1695" t="s">
        <v>651</v>
      </c>
      <c r="G601" s="1695"/>
      <c r="H601" s="838"/>
      <c r="I601" s="1695" t="s">
        <v>209</v>
      </c>
      <c r="J601" s="1695"/>
      <c r="K601" s="1695"/>
      <c r="L601" s="1695"/>
      <c r="M601" s="1695"/>
    </row>
    <row r="602" spans="1:13">
      <c r="A602" s="838"/>
      <c r="B602" s="838" t="s">
        <v>853</v>
      </c>
      <c r="C602" s="838"/>
      <c r="D602" s="838" t="s">
        <v>1709</v>
      </c>
      <c r="E602" s="838"/>
      <c r="F602" s="836" t="s">
        <v>684</v>
      </c>
      <c r="G602" s="836" t="s">
        <v>1980</v>
      </c>
      <c r="H602" s="838"/>
      <c r="I602" s="836" t="s">
        <v>602</v>
      </c>
      <c r="J602" s="836">
        <v>1</v>
      </c>
      <c r="K602" s="836">
        <v>2</v>
      </c>
      <c r="L602" s="836">
        <v>3</v>
      </c>
      <c r="M602" s="836">
        <v>4</v>
      </c>
    </row>
    <row r="603" spans="1:13">
      <c r="B603" s="579" t="s">
        <v>1982</v>
      </c>
      <c r="D603" s="1696" t="str">
        <f>'Part V-Utility Allowances'!D10</f>
        <v>Electric</v>
      </c>
      <c r="E603" s="1696"/>
      <c r="F603" s="1103" t="str">
        <f>'Part V-Utility Allowances'!F10</f>
        <v>X</v>
      </c>
      <c r="G603" s="1103">
        <f>'Part V-Utility Allowances'!G10</f>
        <v>0</v>
      </c>
      <c r="I603" s="834">
        <f>'Part V-Utility Allowances'!I10</f>
        <v>7</v>
      </c>
      <c r="J603" s="834">
        <f>'Part V-Utility Allowances'!J10</f>
        <v>21</v>
      </c>
      <c r="K603" s="834">
        <f>'Part V-Utility Allowances'!K10</f>
        <v>23</v>
      </c>
      <c r="L603" s="834">
        <f>'Part V-Utility Allowances'!L10</f>
        <v>34</v>
      </c>
      <c r="M603" s="834">
        <f>'Part V-Utility Allowances'!M10</f>
        <v>37</v>
      </c>
    </row>
    <row r="604" spans="1:13">
      <c r="B604" s="579" t="s">
        <v>494</v>
      </c>
      <c r="D604" s="579" t="s">
        <v>1705</v>
      </c>
      <c r="F604" s="1103" t="str">
        <f>'Part V-Utility Allowances'!F11</f>
        <v>X</v>
      </c>
      <c r="G604" s="1103">
        <f>'Part V-Utility Allowances'!G11</f>
        <v>0</v>
      </c>
      <c r="I604" s="834">
        <f>'Part V-Utility Allowances'!I11</f>
        <v>23</v>
      </c>
      <c r="J604" s="834">
        <f>'Part V-Utility Allowances'!J11</f>
        <v>33</v>
      </c>
      <c r="K604" s="834">
        <f>'Part V-Utility Allowances'!K11</f>
        <v>42</v>
      </c>
      <c r="L604" s="834">
        <f>'Part V-Utility Allowances'!L11</f>
        <v>42</v>
      </c>
      <c r="M604" s="834">
        <f>'Part V-Utility Allowances'!M11</f>
        <v>44</v>
      </c>
    </row>
    <row r="605" spans="1:13">
      <c r="B605" s="579" t="s">
        <v>1706</v>
      </c>
      <c r="D605" s="1696" t="str">
        <f>'Part V-Utility Allowances'!D12</f>
        <v>Electric</v>
      </c>
      <c r="E605" s="1696"/>
      <c r="F605" s="1103" t="str">
        <f>'Part V-Utility Allowances'!F12</f>
        <v>X</v>
      </c>
      <c r="G605" s="1103">
        <f>'Part V-Utility Allowances'!G12</f>
        <v>0</v>
      </c>
      <c r="I605" s="834">
        <f>'Part V-Utility Allowances'!I12</f>
        <v>7</v>
      </c>
      <c r="J605" s="834">
        <f>'Part V-Utility Allowances'!J12</f>
        <v>9</v>
      </c>
      <c r="K605" s="834">
        <f>'Part V-Utility Allowances'!K12</f>
        <v>12</v>
      </c>
      <c r="L605" s="834">
        <f>'Part V-Utility Allowances'!L12</f>
        <v>12</v>
      </c>
      <c r="M605" s="834">
        <f>'Part V-Utility Allowances'!M12</f>
        <v>14</v>
      </c>
    </row>
    <row r="606" spans="1:13">
      <c r="B606" s="579" t="s">
        <v>1707</v>
      </c>
      <c r="D606" s="1696" t="str">
        <f>'Part V-Utility Allowances'!D13</f>
        <v>Electric</v>
      </c>
      <c r="E606" s="1696"/>
      <c r="F606" s="1103" t="str">
        <f>'Part V-Utility Allowances'!F13</f>
        <v>X</v>
      </c>
      <c r="G606" s="1103">
        <f>'Part V-Utility Allowances'!G13</f>
        <v>0</v>
      </c>
      <c r="I606" s="834">
        <f>'Part V-Utility Allowances'!I13</f>
        <v>21</v>
      </c>
      <c r="J606" s="834">
        <f>'Part V-Utility Allowances'!J13</f>
        <v>29</v>
      </c>
      <c r="K606" s="834">
        <f>'Part V-Utility Allowances'!K13</f>
        <v>37</v>
      </c>
      <c r="L606" s="834">
        <f>'Part V-Utility Allowances'!L13</f>
        <v>37</v>
      </c>
      <c r="M606" s="834">
        <f>'Part V-Utility Allowances'!M13</f>
        <v>39</v>
      </c>
    </row>
    <row r="607" spans="1:13">
      <c r="B607" s="579" t="s">
        <v>1708</v>
      </c>
      <c r="D607" s="579" t="s">
        <v>1705</v>
      </c>
      <c r="F607" s="1103" t="str">
        <f>'Part V-Utility Allowances'!F14</f>
        <v>X</v>
      </c>
      <c r="G607" s="1103">
        <f>'Part V-Utility Allowances'!G14</f>
        <v>0</v>
      </c>
      <c r="I607" s="834">
        <f>'Part V-Utility Allowances'!I14</f>
        <v>19</v>
      </c>
      <c r="J607" s="834">
        <f>'Part V-Utility Allowances'!J14</f>
        <v>27</v>
      </c>
      <c r="K607" s="834">
        <f>'Part V-Utility Allowances'!K14</f>
        <v>34</v>
      </c>
      <c r="L607" s="834">
        <f>'Part V-Utility Allowances'!L14</f>
        <v>33</v>
      </c>
      <c r="M607" s="834">
        <f>'Part V-Utility Allowances'!M14</f>
        <v>46</v>
      </c>
    </row>
    <row r="608" spans="1:13">
      <c r="B608" s="579" t="s">
        <v>1458</v>
      </c>
      <c r="D608" s="579" t="s">
        <v>2373</v>
      </c>
      <c r="E608" s="834" t="str">
        <f>'Part V-Utility Allowances'!E15</f>
        <v>No</v>
      </c>
      <c r="F608" s="1103">
        <f>'Part V-Utility Allowances'!F15</f>
        <v>0</v>
      </c>
      <c r="G608" s="1103" t="str">
        <f>'Part V-Utility Allowances'!G15</f>
        <v>X</v>
      </c>
      <c r="I608" s="834">
        <f>'Part V-Utility Allowances'!I15</f>
        <v>0</v>
      </c>
      <c r="J608" s="834">
        <f>'Part V-Utility Allowances'!J15</f>
        <v>0</v>
      </c>
      <c r="K608" s="834">
        <f>'Part V-Utility Allowances'!K15</f>
        <v>0</v>
      </c>
      <c r="L608" s="834">
        <f>'Part V-Utility Allowances'!L15</f>
        <v>0</v>
      </c>
      <c r="M608" s="834">
        <f>'Part V-Utility Allowances'!M15</f>
        <v>0</v>
      </c>
    </row>
    <row r="609" spans="1:13">
      <c r="B609" s="579" t="s">
        <v>1981</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1083</v>
      </c>
      <c r="F610" s="834"/>
      <c r="G610" s="834"/>
      <c r="I610" s="836">
        <f>SUM(I603:I609)</f>
        <v>77</v>
      </c>
      <c r="J610" s="836">
        <f>SUM(J603:J609)</f>
        <v>119</v>
      </c>
      <c r="K610" s="836">
        <f>SUM(K603:K609)</f>
        <v>148</v>
      </c>
      <c r="L610" s="836">
        <f>SUM(L603:L609)</f>
        <v>158</v>
      </c>
      <c r="M610" s="836">
        <f>SUM(M603:M609)</f>
        <v>180</v>
      </c>
    </row>
    <row r="612" spans="1:13">
      <c r="A612" s="838" t="s">
        <v>791</v>
      </c>
      <c r="B612" s="838" t="s">
        <v>2375</v>
      </c>
      <c r="F612" s="579" t="s">
        <v>2691</v>
      </c>
      <c r="I612" s="1696">
        <f>'Part V-Utility Allowances'!I19</f>
        <v>0</v>
      </c>
      <c r="J612" s="1696"/>
      <c r="K612" s="1696"/>
      <c r="L612" s="1696"/>
      <c r="M612" s="1696"/>
    </row>
    <row r="613" spans="1:13">
      <c r="A613" s="838"/>
      <c r="B613" s="838"/>
      <c r="F613" s="579" t="s">
        <v>678</v>
      </c>
      <c r="I613" s="1698">
        <f>'Part V-Utility Allowances'!I20</f>
        <v>0</v>
      </c>
      <c r="J613" s="1698"/>
      <c r="K613" s="834" t="s">
        <v>574</v>
      </c>
      <c r="L613" s="1696">
        <f>'Part V-Utility Allowances'!L20</f>
        <v>0</v>
      </c>
      <c r="M613" s="1696"/>
    </row>
    <row r="614" spans="1:13">
      <c r="A614" s="838"/>
    </row>
    <row r="615" spans="1:13">
      <c r="A615" s="838"/>
      <c r="B615" s="838"/>
      <c r="C615" s="838"/>
      <c r="D615" s="838"/>
      <c r="E615" s="838"/>
      <c r="F615" s="1695" t="s">
        <v>651</v>
      </c>
      <c r="G615" s="1695"/>
      <c r="H615" s="838"/>
      <c r="I615" s="1695" t="s">
        <v>209</v>
      </c>
      <c r="J615" s="1695"/>
      <c r="K615" s="1695"/>
      <c r="L615" s="1695"/>
      <c r="M615" s="1695"/>
    </row>
    <row r="616" spans="1:13">
      <c r="A616" s="838"/>
      <c r="B616" s="838" t="s">
        <v>853</v>
      </c>
      <c r="C616" s="838"/>
      <c r="D616" s="838" t="s">
        <v>1709</v>
      </c>
      <c r="E616" s="838"/>
      <c r="F616" s="836" t="s">
        <v>684</v>
      </c>
      <c r="G616" s="836" t="s">
        <v>1980</v>
      </c>
      <c r="H616" s="838"/>
      <c r="I616" s="836" t="s">
        <v>602</v>
      </c>
      <c r="J616" s="836">
        <v>1</v>
      </c>
      <c r="K616" s="836">
        <v>2</v>
      </c>
      <c r="L616" s="836">
        <v>3</v>
      </c>
      <c r="M616" s="836">
        <v>4</v>
      </c>
    </row>
    <row r="617" spans="1:13">
      <c r="B617" s="579" t="s">
        <v>1982</v>
      </c>
      <c r="D617" s="1696" t="str">
        <f>'Part V-Utility Allowances'!D24</f>
        <v>&lt;&lt;Select Fuel &gt;&gt;</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494</v>
      </c>
      <c r="D618" s="579" t="s">
        <v>1705</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1706</v>
      </c>
      <c r="D619" s="1696" t="str">
        <f>'Part V-Utility Allowances'!D26</f>
        <v>&lt;&lt;Select Fuel &gt;&gt;</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1707</v>
      </c>
      <c r="D620" s="1696" t="str">
        <f>'Part V-Utility Allowances'!D27</f>
        <v>&lt;&lt;Select Fuel &gt;&gt;</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1708</v>
      </c>
      <c r="D621" s="579" t="s">
        <v>1705</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1458</v>
      </c>
      <c r="D622" s="579" t="s">
        <v>2373</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1981</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1083</v>
      </c>
      <c r="F624" s="834"/>
      <c r="G624" s="834"/>
      <c r="I624" s="836">
        <f>SUM(I617:I623)</f>
        <v>0</v>
      </c>
      <c r="J624" s="836">
        <f>SUM(J617:J623)</f>
        <v>0</v>
      </c>
      <c r="K624" s="836">
        <f>SUM(K617:K623)</f>
        <v>0</v>
      </c>
      <c r="L624" s="836">
        <f>SUM(L617:L623)</f>
        <v>0</v>
      </c>
      <c r="M624" s="836">
        <f>SUM(M617:M623)</f>
        <v>0</v>
      </c>
    </row>
    <row r="626" spans="1:221">
      <c r="B626" s="936" t="s">
        <v>1933</v>
      </c>
    </row>
    <row r="628" spans="1:221">
      <c r="A628" s="838"/>
      <c r="B628" s="838" t="s">
        <v>609</v>
      </c>
    </row>
    <row r="629" spans="1:221">
      <c r="B629" s="1697" t="str">
        <f>'Part V-Utility Allowances'!B36</f>
        <v>Structure:  The site is a combination of 1 and 2 story multifamily units. Utility Allowances arebased on the existing HUD Rental Schedule for Macon Gardens.</v>
      </c>
      <c r="C629" s="1697"/>
      <c r="D629" s="1697"/>
      <c r="E629" s="1697"/>
      <c r="F629" s="1697"/>
      <c r="G629" s="1697"/>
      <c r="H629" s="1697"/>
      <c r="I629" s="1697"/>
      <c r="J629" s="1697"/>
      <c r="K629" s="1697"/>
      <c r="L629" s="1697"/>
      <c r="M629" s="1697"/>
    </row>
    <row r="631" spans="1:221">
      <c r="A631" s="838"/>
      <c r="B631" s="838" t="s">
        <v>1975</v>
      </c>
    </row>
    <row r="632" spans="1:221">
      <c r="B632" s="1697">
        <f>'Part V-Utility Allowances'!B39</f>
        <v>0</v>
      </c>
      <c r="C632" s="1697"/>
      <c r="D632" s="1697"/>
      <c r="E632" s="1697"/>
      <c r="F632" s="1697"/>
      <c r="G632" s="1697"/>
      <c r="H632" s="1697"/>
      <c r="I632" s="1697"/>
      <c r="J632" s="1697"/>
      <c r="K632" s="1697"/>
      <c r="L632" s="1697"/>
      <c r="M632" s="1697"/>
    </row>
    <row r="635" spans="1:221" s="582" customFormat="1" ht="13.9" customHeight="1">
      <c r="A635" s="1617" t="str">
        <f>CONCATENATE("PART SIX - PROJECTED REVENUES &amp; EXPENSES","  -  ",'Part I-Project Information'!$O$4," ",'Part I-Project Information'!$F$23,", ",'Part I-Project Information'!F661,", ",'Part I-Project Information'!J662," County")</f>
        <v>PART SIX - PROJECTED REVENUES &amp; EXPENSES  -  2014-051 Macon Gardens,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2014-051 Macon Gardens,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658</v>
      </c>
      <c r="B637" s="585" t="s">
        <v>2521</v>
      </c>
      <c r="E637" s="937" t="s">
        <v>2905</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517</v>
      </c>
      <c r="FB637" s="832" t="s">
        <v>2605</v>
      </c>
      <c r="FC637" s="832" t="s">
        <v>2606</v>
      </c>
      <c r="FD637" s="832" t="s">
        <v>2607</v>
      </c>
      <c r="FE637" s="832" t="s">
        <v>2608</v>
      </c>
      <c r="FF637" s="833"/>
      <c r="FG637" s="833"/>
      <c r="FH637" s="833"/>
      <c r="FI637" s="833"/>
      <c r="FJ637" s="833"/>
      <c r="FK637" s="832" t="s">
        <v>517</v>
      </c>
      <c r="FL637" s="832" t="s">
        <v>2605</v>
      </c>
      <c r="FM637" s="832" t="s">
        <v>2606</v>
      </c>
      <c r="FN637" s="832" t="s">
        <v>2607</v>
      </c>
      <c r="FO637" s="832" t="s">
        <v>2608</v>
      </c>
      <c r="FP637" s="832" t="s">
        <v>517</v>
      </c>
      <c r="FQ637" s="832" t="s">
        <v>2605</v>
      </c>
      <c r="FR637" s="832" t="s">
        <v>2606</v>
      </c>
      <c r="FS637" s="832" t="s">
        <v>2607</v>
      </c>
      <c r="FT637" s="832" t="s">
        <v>2608</v>
      </c>
      <c r="FU637" s="832" t="s">
        <v>517</v>
      </c>
      <c r="FV637" s="832" t="s">
        <v>2605</v>
      </c>
      <c r="FW637" s="832" t="s">
        <v>2606</v>
      </c>
      <c r="FX637" s="832" t="s">
        <v>2607</v>
      </c>
      <c r="FY637" s="832" t="s">
        <v>2608</v>
      </c>
      <c r="FZ637" s="832" t="s">
        <v>517</v>
      </c>
      <c r="GA637" s="832" t="s">
        <v>2605</v>
      </c>
      <c r="GB637" s="832" t="s">
        <v>2606</v>
      </c>
      <c r="GC637" s="832" t="s">
        <v>2607</v>
      </c>
      <c r="GD637" s="832" t="s">
        <v>2608</v>
      </c>
      <c r="GE637" s="832" t="s">
        <v>517</v>
      </c>
      <c r="GF637" s="832" t="s">
        <v>2605</v>
      </c>
      <c r="GG637" s="832" t="s">
        <v>2606</v>
      </c>
      <c r="GH637" s="832" t="s">
        <v>2607</v>
      </c>
      <c r="GI637" s="832" t="s">
        <v>2608</v>
      </c>
      <c r="GJ637" s="832" t="s">
        <v>517</v>
      </c>
      <c r="GK637" s="832" t="s">
        <v>2605</v>
      </c>
      <c r="GL637" s="832" t="s">
        <v>2606</v>
      </c>
      <c r="GM637" s="832" t="s">
        <v>2607</v>
      </c>
      <c r="GN637" s="832"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976</v>
      </c>
      <c r="W638" s="1699" t="s">
        <v>807</v>
      </c>
      <c r="X638" s="1699" t="s">
        <v>808</v>
      </c>
      <c r="Y638" s="1699" t="s">
        <v>809</v>
      </c>
      <c r="Z638" s="1699" t="s">
        <v>810</v>
      </c>
      <c r="AA638" s="1699" t="s">
        <v>977</v>
      </c>
      <c r="AB638" s="1699" t="s">
        <v>2460</v>
      </c>
      <c r="AC638" s="1699" t="s">
        <v>2461</v>
      </c>
      <c r="AD638" s="1699" t="s">
        <v>2462</v>
      </c>
      <c r="AE638" s="1699" t="s">
        <v>2463</v>
      </c>
      <c r="AF638" s="1699" t="s">
        <v>978</v>
      </c>
      <c r="AG638" s="1699" t="s">
        <v>2464</v>
      </c>
      <c r="AH638" s="1699" t="s">
        <v>2465</v>
      </c>
      <c r="AI638" s="1699" t="s">
        <v>2466</v>
      </c>
      <c r="AJ638" s="1699" t="s">
        <v>2467</v>
      </c>
      <c r="AK638" s="1699" t="s">
        <v>132</v>
      </c>
      <c r="AL638" s="1699" t="s">
        <v>2468</v>
      </c>
      <c r="AM638" s="1699" t="s">
        <v>2469</v>
      </c>
      <c r="AN638" s="1699" t="s">
        <v>2470</v>
      </c>
      <c r="AO638" s="1699" t="s">
        <v>1218</v>
      </c>
      <c r="AP638" s="1699" t="s">
        <v>590</v>
      </c>
      <c r="AQ638" s="1699" t="s">
        <v>591</v>
      </c>
      <c r="AR638" s="1699" t="s">
        <v>615</v>
      </c>
      <c r="AS638" s="1699" t="s">
        <v>616</v>
      </c>
      <c r="AT638" s="1699" t="s">
        <v>617</v>
      </c>
      <c r="AU638" s="1699" t="s">
        <v>618</v>
      </c>
      <c r="AV638" s="1699" t="s">
        <v>619</v>
      </c>
      <c r="AW638" s="1699" t="s">
        <v>620</v>
      </c>
      <c r="AX638" s="1699" t="s">
        <v>621</v>
      </c>
      <c r="AY638" s="1699" t="s">
        <v>622</v>
      </c>
      <c r="AZ638" s="1699" t="s">
        <v>623</v>
      </c>
      <c r="BA638" s="1699" t="s">
        <v>624</v>
      </c>
      <c r="BB638" s="1699" t="s">
        <v>988</v>
      </c>
      <c r="BC638" s="1699" t="s">
        <v>989</v>
      </c>
      <c r="BD638" s="1699" t="s">
        <v>990</v>
      </c>
      <c r="BE638" s="1699" t="s">
        <v>529</v>
      </c>
      <c r="BF638" s="1699" t="s">
        <v>530</v>
      </c>
      <c r="BG638" s="1699" t="s">
        <v>531</v>
      </c>
      <c r="BH638" s="1699" t="s">
        <v>532</v>
      </c>
      <c r="BI638" s="1699" t="s">
        <v>533</v>
      </c>
      <c r="BJ638" s="1699" t="s">
        <v>936</v>
      </c>
      <c r="BK638" s="1699" t="s">
        <v>937</v>
      </c>
      <c r="BL638" s="1699" t="s">
        <v>938</v>
      </c>
      <c r="BM638" s="1699" t="s">
        <v>939</v>
      </c>
      <c r="BN638" s="1699" t="s">
        <v>940</v>
      </c>
      <c r="BO638" s="1699" t="s">
        <v>941</v>
      </c>
      <c r="BP638" s="1699" t="s">
        <v>942</v>
      </c>
      <c r="BQ638" s="1699" t="s">
        <v>943</v>
      </c>
      <c r="BR638" s="1699" t="s">
        <v>944</v>
      </c>
      <c r="BS638" s="1699" t="s">
        <v>945</v>
      </c>
      <c r="BT638" s="1699" t="s">
        <v>2595</v>
      </c>
      <c r="BU638" s="1699" t="s">
        <v>2596</v>
      </c>
      <c r="BV638" s="1699" t="s">
        <v>2597</v>
      </c>
      <c r="BW638" s="1699" t="s">
        <v>2598</v>
      </c>
      <c r="BX638" s="1699" t="s">
        <v>2599</v>
      </c>
      <c r="BY638" s="1699" t="s">
        <v>120</v>
      </c>
      <c r="BZ638" s="1699" t="s">
        <v>1221</v>
      </c>
      <c r="CA638" s="1699" t="s">
        <v>1222</v>
      </c>
      <c r="CB638" s="1699" t="s">
        <v>1291</v>
      </c>
      <c r="CC638" s="1699" t="s">
        <v>1292</v>
      </c>
      <c r="CD638" s="1700" t="s">
        <v>135</v>
      </c>
      <c r="CE638" s="1700" t="s">
        <v>1293</v>
      </c>
      <c r="CF638" s="1700" t="s">
        <v>1294</v>
      </c>
      <c r="CG638" s="1700" t="s">
        <v>1295</v>
      </c>
      <c r="CH638" s="1700" t="s">
        <v>1296</v>
      </c>
      <c r="CI638" s="1700" t="s">
        <v>134</v>
      </c>
      <c r="CJ638" s="1700" t="s">
        <v>968</v>
      </c>
      <c r="CK638" s="1700" t="s">
        <v>969</v>
      </c>
      <c r="CL638" s="1700" t="s">
        <v>970</v>
      </c>
      <c r="CM638" s="1700" t="s">
        <v>971</v>
      </c>
      <c r="CN638" s="1700" t="s">
        <v>133</v>
      </c>
      <c r="CO638" s="1700" t="s">
        <v>972</v>
      </c>
      <c r="CP638" s="1700" t="s">
        <v>973</v>
      </c>
      <c r="CQ638" s="1700" t="s">
        <v>974</v>
      </c>
      <c r="CR638" s="1700" t="s">
        <v>975</v>
      </c>
      <c r="CS638" s="1700" t="s">
        <v>864</v>
      </c>
      <c r="CT638" s="1700" t="s">
        <v>865</v>
      </c>
      <c r="CU638" s="1700" t="s">
        <v>866</v>
      </c>
      <c r="CV638" s="1700" t="s">
        <v>867</v>
      </c>
      <c r="CW638" s="1700" t="s">
        <v>868</v>
      </c>
      <c r="CX638" s="1700" t="s">
        <v>1015</v>
      </c>
      <c r="CY638" s="1700" t="s">
        <v>1016</v>
      </c>
      <c r="CZ638" s="1700" t="s">
        <v>1017</v>
      </c>
      <c r="DA638" s="1700" t="s">
        <v>1018</v>
      </c>
      <c r="DB638" s="1700" t="s">
        <v>2594</v>
      </c>
      <c r="DC638" s="1700" t="s">
        <v>1528</v>
      </c>
      <c r="DD638" s="1700" t="s">
        <v>1529</v>
      </c>
      <c r="DE638" s="1700" t="s">
        <v>1530</v>
      </c>
      <c r="DF638" s="1700" t="s">
        <v>1531</v>
      </c>
      <c r="DG638" s="1700" t="s">
        <v>1532</v>
      </c>
      <c r="DH638" s="1700" t="s">
        <v>459</v>
      </c>
      <c r="DI638" s="1700" t="s">
        <v>460</v>
      </c>
      <c r="DJ638" s="1700" t="s">
        <v>461</v>
      </c>
      <c r="DK638" s="1700" t="s">
        <v>462</v>
      </c>
      <c r="DL638" s="1700" t="s">
        <v>463</v>
      </c>
      <c r="DM638" s="1700" t="s">
        <v>18</v>
      </c>
      <c r="DN638" s="1700" t="s">
        <v>19</v>
      </c>
      <c r="DO638" s="1700" t="s">
        <v>20</v>
      </c>
      <c r="DP638" s="1700" t="s">
        <v>21</v>
      </c>
      <c r="DQ638" s="1700" t="s">
        <v>22</v>
      </c>
      <c r="DR638" s="1700" t="s">
        <v>234</v>
      </c>
      <c r="DS638" s="1700" t="s">
        <v>235</v>
      </c>
      <c r="DT638" s="1700" t="s">
        <v>236</v>
      </c>
      <c r="DU638" s="1700" t="s">
        <v>1939</v>
      </c>
      <c r="DV638" s="1700" t="s">
        <v>1940</v>
      </c>
      <c r="DW638" s="1700" t="s">
        <v>1941</v>
      </c>
      <c r="DX638" s="1700" t="s">
        <v>631</v>
      </c>
      <c r="DY638" s="1700" t="s">
        <v>632</v>
      </c>
      <c r="DZ638" s="1700" t="s">
        <v>633</v>
      </c>
      <c r="EA638" s="1700" t="s">
        <v>634</v>
      </c>
      <c r="EB638" s="1700" t="s">
        <v>23</v>
      </c>
      <c r="EC638" s="1700" t="s">
        <v>24</v>
      </c>
      <c r="ED638" s="1700" t="s">
        <v>25</v>
      </c>
      <c r="EE638" s="1700" t="s">
        <v>26</v>
      </c>
      <c r="EF638" s="1700" t="s">
        <v>27</v>
      </c>
      <c r="EG638" s="1700" t="s">
        <v>528</v>
      </c>
      <c r="EH638" s="1700" t="s">
        <v>455</v>
      </c>
      <c r="EI638" s="1700" t="s">
        <v>456</v>
      </c>
      <c r="EJ638" s="1700" t="s">
        <v>457</v>
      </c>
      <c r="EK638" s="1700" t="s">
        <v>458</v>
      </c>
      <c r="EL638" s="1700" t="s">
        <v>2352</v>
      </c>
      <c r="EM638" s="1700" t="s">
        <v>2353</v>
      </c>
      <c r="EN638" s="1700" t="s">
        <v>2354</v>
      </c>
      <c r="EO638" s="1700" t="s">
        <v>1579</v>
      </c>
      <c r="EP638" s="1700" t="s">
        <v>1580</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1736</v>
      </c>
      <c r="GP638" s="1700" t="s">
        <v>2697</v>
      </c>
      <c r="GQ638" s="1700" t="s">
        <v>2698</v>
      </c>
      <c r="GR638" s="1700" t="s">
        <v>406</v>
      </c>
      <c r="GS638" s="1700" t="s">
        <v>407</v>
      </c>
      <c r="GT638" s="1700" t="s">
        <v>408</v>
      </c>
      <c r="GU638" s="1700" t="s">
        <v>409</v>
      </c>
      <c r="GV638" s="1700" t="s">
        <v>410</v>
      </c>
      <c r="GW638" s="1700" t="s">
        <v>411</v>
      </c>
      <c r="GX638" s="1700" t="s">
        <v>412</v>
      </c>
      <c r="GY638" s="1700" t="s">
        <v>211</v>
      </c>
      <c r="GZ638" s="1700" t="s">
        <v>212</v>
      </c>
      <c r="HA638" s="1700" t="s">
        <v>213</v>
      </c>
      <c r="HB638" s="1700" t="s">
        <v>214</v>
      </c>
      <c r="HC638" s="1700" t="s">
        <v>215</v>
      </c>
      <c r="HD638" s="1700" t="s">
        <v>216</v>
      </c>
      <c r="HE638" s="1700" t="s">
        <v>217</v>
      </c>
      <c r="HF638" s="1700" t="s">
        <v>218</v>
      </c>
      <c r="HG638" s="1700" t="s">
        <v>219</v>
      </c>
      <c r="HH638" s="1700" t="s">
        <v>220</v>
      </c>
      <c r="HI638" s="1700" t="s">
        <v>221</v>
      </c>
      <c r="HJ638" s="1700" t="s">
        <v>222</v>
      </c>
      <c r="HK638" s="1700" t="s">
        <v>223</v>
      </c>
      <c r="HL638" s="1700" t="s">
        <v>224</v>
      </c>
      <c r="HM638" s="1700" t="s">
        <v>225</v>
      </c>
    </row>
    <row r="639" spans="1:221" s="582" customFormat="1" ht="13.15" customHeight="1">
      <c r="B639" s="585" t="s">
        <v>1976</v>
      </c>
      <c r="E639" s="585"/>
      <c r="G639" s="830">
        <f>'Part VI-Revenues &amp; Expenses'!G5</f>
        <v>0</v>
      </c>
      <c r="N639" s="935" t="s">
        <v>614</v>
      </c>
      <c r="P639" s="938" t="s">
        <v>1098</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15" customHeight="1">
      <c r="B640" s="939" t="s">
        <v>1932</v>
      </c>
      <c r="E640" s="585"/>
      <c r="G640" s="834" t="str">
        <f>'Part VI-Revenues &amp; Expenses'!G6</f>
        <v>Yes</v>
      </c>
      <c r="J640" s="940" t="s">
        <v>2568</v>
      </c>
      <c r="N640" s="1701" t="str">
        <f>'Part I-Project Information'!$O$29</f>
        <v>Macon</v>
      </c>
      <c r="O640" s="1701"/>
      <c r="P640" s="516">
        <f>VLOOKUP('Part I-Project Information'!$O$29,'DCA Underwriting Assumptions'!$C$82:$D$192,2)</f>
        <v>49800</v>
      </c>
      <c r="R640" s="1617" t="s">
        <v>2931</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3.9" customHeight="1">
      <c r="A641" s="1702" t="str">
        <f>IF(A682&gt;0,"Finish!","")</f>
        <v/>
      </c>
      <c r="B641" s="585"/>
      <c r="D641" s="585"/>
      <c r="J641" s="940" t="s">
        <v>2569</v>
      </c>
      <c r="N641" s="603"/>
      <c r="O641" s="603"/>
      <c r="P641" s="603"/>
      <c r="Q641" s="603"/>
      <c r="R641" s="604"/>
      <c r="S641" s="605" t="s">
        <v>2928</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3.9" customHeight="1">
      <c r="A642" s="1702"/>
      <c r="B642" s="941" t="s">
        <v>1578</v>
      </c>
      <c r="C642" s="940" t="s">
        <v>180</v>
      </c>
      <c r="D642" s="940" t="s">
        <v>579</v>
      </c>
      <c r="E642" s="940" t="s">
        <v>1576</v>
      </c>
      <c r="F642" s="940" t="s">
        <v>1576</v>
      </c>
      <c r="G642" s="940" t="s">
        <v>2546</v>
      </c>
      <c r="H642" s="940" t="s">
        <v>2544</v>
      </c>
      <c r="I642" s="940" t="s">
        <v>853</v>
      </c>
      <c r="J642" s="940" t="s">
        <v>3672</v>
      </c>
      <c r="K642" s="1591" t="s">
        <v>148</v>
      </c>
      <c r="L642" s="1591"/>
      <c r="M642" s="940" t="s">
        <v>2522</v>
      </c>
      <c r="N642" s="940" t="s">
        <v>566</v>
      </c>
      <c r="O642" s="940" t="s">
        <v>403</v>
      </c>
      <c r="P642" s="1591" t="s">
        <v>1105</v>
      </c>
      <c r="Q642" s="1591"/>
      <c r="R642" s="940" t="s">
        <v>2927</v>
      </c>
      <c r="S642" s="940" t="s">
        <v>2929</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1559</v>
      </c>
      <c r="EW642" s="834" t="s">
        <v>2605</v>
      </c>
      <c r="EX642" s="834" t="s">
        <v>2606</v>
      </c>
      <c r="EY642" s="834" t="s">
        <v>2607</v>
      </c>
      <c r="EZ642" s="834" t="s">
        <v>2608</v>
      </c>
      <c r="FA642" s="1700" t="s">
        <v>2666</v>
      </c>
      <c r="FB642" s="1700" t="s">
        <v>2666</v>
      </c>
      <c r="FC642" s="1700" t="s">
        <v>2666</v>
      </c>
      <c r="FD642" s="1700" t="s">
        <v>2666</v>
      </c>
      <c r="FE642" s="1700" t="s">
        <v>2666</v>
      </c>
      <c r="FF642" s="834" t="s">
        <v>517</v>
      </c>
      <c r="FG642" s="834" t="s">
        <v>2605</v>
      </c>
      <c r="FH642" s="834" t="s">
        <v>2606</v>
      </c>
      <c r="FI642" s="834" t="s">
        <v>2607</v>
      </c>
      <c r="FJ642" s="834" t="s">
        <v>2608</v>
      </c>
      <c r="FK642" s="1700" t="s">
        <v>2668</v>
      </c>
      <c r="FL642" s="1700" t="s">
        <v>2668</v>
      </c>
      <c r="FM642" s="1700" t="s">
        <v>2668</v>
      </c>
      <c r="FN642" s="1700" t="s">
        <v>2668</v>
      </c>
      <c r="FO642" s="1700" t="s">
        <v>2668</v>
      </c>
      <c r="FP642" s="1700" t="s">
        <v>378</v>
      </c>
      <c r="FQ642" s="1700" t="s">
        <v>378</v>
      </c>
      <c r="FR642" s="1700" t="s">
        <v>378</v>
      </c>
      <c r="FS642" s="1700" t="s">
        <v>378</v>
      </c>
      <c r="FT642" s="1700" t="s">
        <v>378</v>
      </c>
      <c r="FU642" s="1700" t="s">
        <v>379</v>
      </c>
      <c r="FV642" s="1700" t="s">
        <v>379</v>
      </c>
      <c r="FW642" s="1700" t="s">
        <v>379</v>
      </c>
      <c r="FX642" s="1700" t="s">
        <v>379</v>
      </c>
      <c r="FY642" s="1700" t="s">
        <v>379</v>
      </c>
      <c r="FZ642" s="1700" t="s">
        <v>380</v>
      </c>
      <c r="GA642" s="1700" t="s">
        <v>380</v>
      </c>
      <c r="GB642" s="1700" t="s">
        <v>380</v>
      </c>
      <c r="GC642" s="1700" t="s">
        <v>380</v>
      </c>
      <c r="GD642" s="1700" t="s">
        <v>380</v>
      </c>
      <c r="GE642" s="1700" t="s">
        <v>381</v>
      </c>
      <c r="GF642" s="1700" t="s">
        <v>381</v>
      </c>
      <c r="GG642" s="1700" t="s">
        <v>381</v>
      </c>
      <c r="GH642" s="1700" t="s">
        <v>381</v>
      </c>
      <c r="GI642" s="1700" t="s">
        <v>381</v>
      </c>
      <c r="GJ642" s="1700" t="s">
        <v>1558</v>
      </c>
      <c r="GK642" s="1700" t="s">
        <v>1558</v>
      </c>
      <c r="GL642" s="1700" t="s">
        <v>1558</v>
      </c>
      <c r="GM642" s="1700" t="s">
        <v>1558</v>
      </c>
      <c r="GN642" s="1700" t="s">
        <v>1558</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3.9" customHeight="1">
      <c r="A643" s="1702"/>
      <c r="B643" s="941" t="s">
        <v>1383</v>
      </c>
      <c r="C643" s="940" t="s">
        <v>179</v>
      </c>
      <c r="D643" s="940" t="s">
        <v>181</v>
      </c>
      <c r="E643" s="940" t="s">
        <v>1577</v>
      </c>
      <c r="F643" s="940" t="s">
        <v>1360</v>
      </c>
      <c r="G643" s="940" t="s">
        <v>1361</v>
      </c>
      <c r="H643" s="940" t="s">
        <v>2545</v>
      </c>
      <c r="I643" s="940" t="s">
        <v>854</v>
      </c>
      <c r="J643" s="942" t="s">
        <v>369</v>
      </c>
      <c r="K643" s="940" t="s">
        <v>1637</v>
      </c>
      <c r="L643" s="940" t="s">
        <v>573</v>
      </c>
      <c r="M643" s="940" t="s">
        <v>1576</v>
      </c>
      <c r="N643" s="940" t="s">
        <v>1383</v>
      </c>
      <c r="O643" s="940" t="s">
        <v>404</v>
      </c>
      <c r="P643" s="940" t="s">
        <v>1103</v>
      </c>
      <c r="Q643" s="940" t="s">
        <v>1104</v>
      </c>
      <c r="R643" s="940" t="s">
        <v>1578</v>
      </c>
      <c r="S643" s="940" t="s">
        <v>2930</v>
      </c>
      <c r="T643" s="1705" t="s">
        <v>1975</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2665</v>
      </c>
      <c r="EX643" s="834" t="s">
        <v>2665</v>
      </c>
      <c r="EY643" s="834" t="s">
        <v>2665</v>
      </c>
      <c r="EZ643" s="834" t="s">
        <v>2665</v>
      </c>
      <c r="FA643" s="1700"/>
      <c r="FB643" s="1700"/>
      <c r="FC643" s="1700"/>
      <c r="FD643" s="1700"/>
      <c r="FE643" s="1700"/>
      <c r="FF643" s="834" t="s">
        <v>2667</v>
      </c>
      <c r="FG643" s="834" t="s">
        <v>2667</v>
      </c>
      <c r="FH643" s="834" t="s">
        <v>2667</v>
      </c>
      <c r="FI643" s="834" t="s">
        <v>2667</v>
      </c>
      <c r="FJ643" s="834" t="s">
        <v>2667</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15" customHeight="1">
      <c r="A644" s="938" t="str">
        <f>IF(AND(E644&gt;0,OR(B644="",C644="",D644="",F644="",G644="", H644="",M644="",N644="",O644="")),1,"")</f>
        <v/>
      </c>
      <c r="B644" s="1104" t="str">
        <f>'Part VI-Revenues &amp; Expenses'!B10</f>
        <v>60% AMI</v>
      </c>
      <c r="C644" s="1105">
        <f>'Part VI-Revenues &amp; Expenses'!C10</f>
        <v>1</v>
      </c>
      <c r="D644" s="1106">
        <f>'Part VI-Revenues &amp; Expenses'!D10</f>
        <v>1</v>
      </c>
      <c r="E644" s="1107">
        <f>'Part VI-Revenues &amp; Expenses'!E10</f>
        <v>39</v>
      </c>
      <c r="F644" s="1107">
        <f>'Part VI-Revenues &amp; Expenses'!F10</f>
        <v>570</v>
      </c>
      <c r="G644" s="1107">
        <f>'Part VI-Revenues &amp; Expenses'!G10</f>
        <v>594</v>
      </c>
      <c r="H644" s="1107">
        <f>'Part VI-Revenues &amp; Expenses'!H10</f>
        <v>594</v>
      </c>
      <c r="I644" s="1107">
        <f>'Part VI-Revenues &amp; Expenses'!I10</f>
        <v>119</v>
      </c>
      <c r="J644" s="868" t="str">
        <f>'Part VI-Revenues &amp; Expenses'!J10</f>
        <v>HUD</v>
      </c>
      <c r="K644" s="943">
        <f>MAX(0,H644-I644)</f>
        <v>475</v>
      </c>
      <c r="L644" s="943">
        <f t="shared" ref="L644:L681" si="0">MAX(0,E644*K644)</f>
        <v>18525</v>
      </c>
      <c r="M644" s="833" t="str">
        <f>'Part VI-Revenues &amp; Expenses'!M10</f>
        <v>No</v>
      </c>
      <c r="N644" s="833" t="str">
        <f>'Part VI-Revenues &amp; Expenses'!N10</f>
        <v>1-Story</v>
      </c>
      <c r="O644" s="833" t="str">
        <f>'Part VI-Revenues &amp; Expenses'!O10</f>
        <v>Acquisition/Rehab</v>
      </c>
      <c r="P644" s="944">
        <f>IF(H644="","",H644*12/0.3)</f>
        <v>23760</v>
      </c>
      <c r="Q644" s="945">
        <f>'Part VI-Revenues &amp; Expenses'!Q10</f>
        <v>0.636144578313253</v>
      </c>
      <c r="R644" s="944"/>
      <c r="S644" s="945"/>
      <c r="T644" s="1605"/>
      <c r="U644" s="1605"/>
      <c r="V644" s="579" t="str">
        <f t="shared" ref="V644:V681" si="1">IF(AND(C644="Efficiency",B644="60% AMI",NOT(M644="Common")),E644,"")</f>
        <v/>
      </c>
      <c r="W644" s="579">
        <f t="shared" ref="W644:W681" si="2">IF(AND(C644=1,B644="60% AMI",NOT(M644="Common")),E644,"")</f>
        <v>39</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t="str">
        <f t="shared" ref="AB644:AB681" si="7">IF(AND(C644=1,B644="50% AMI",NOT(M644="Common")),E644,"")</f>
        <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f>IF(OR(AND($C644=1,NOT($J644=""),NOT($J644=0),NOT($J644="PHA Oper Sub"),$B644="60% AMI",NOT($M644="Common")),AND($C644=1,NOT($J644=""),NOT($J644=0),NOT($J644="PHA Oper Sub"),$B644="HOME 60% AMI",NOT($M644="Common"))),$E644,"")</f>
        <v>39</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f t="shared" ref="BZ644:BZ681" si="27">IF(OR(AND(C644=1,B644="60% AMI",NOT(M644="Common")),AND(C644=1,B644="HOME 60% AMI",NOT(M644="Common"))),E644*F644,"")</f>
        <v>22230</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t="str">
        <f t="shared" ref="CE644:CE681" si="32">IF(OR(AND(C644=1,B644="50% AMI",NOT(M644="Common")),AND(C644=1,B644="HOME 50% AMI",NOT(M644="Common"))),E644*F644,"")</f>
        <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f t="shared" ref="CT644:CT681" si="47">IF(AND(C644=1,NOT(J644=""),NOT($J644=0),NOT(M644="Common")),E644*F644,"")</f>
        <v>22230</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t="str">
        <f t="shared" ref="DD644:DD681" si="57">IF(AND($C644=1, $O644="New Construction",NOT($B644="Unrestricted"),NOT($B644="NSP 120% AMI"),NOT($B644="N/A-CS"),NOT($M644="Common")),$E644,"")</f>
        <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f t="shared" ref="DS644:DS681" si="72">IF(AND($C644=1, $O644="Acquisition/Rehab",NOT($B644="Unrestricted"),NOT($B644="NSP 120% AMI"),NOT($B644="N/A-CS"),NOT($M644="Common")),$E644,"")</f>
        <v>39</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39</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f t="shared" ref="FV644:FV681" si="127">IF(AND($C644=1, $N644="1-Story"),$E644,"")</f>
        <v>39</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t="str">
        <f t="shared" ref="GF644:GF681" si="137">IF(AND($C644=1, $N644="2-Story Walkup"),$E644,"")</f>
        <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t="str">
        <f t="shared" ref="GK644:GK681" si="142">IF(AND($C644=1, $N644="3+ Story"),$E644,"")</f>
        <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60% AMI</v>
      </c>
      <c r="C645" s="1105">
        <f>'Part VI-Revenues &amp; Expenses'!C11</f>
        <v>1</v>
      </c>
      <c r="D645" s="1106">
        <f>'Part VI-Revenues &amp; Expenses'!D11</f>
        <v>1</v>
      </c>
      <c r="E645" s="1107">
        <f>'Part VI-Revenues &amp; Expenses'!E11</f>
        <v>16</v>
      </c>
      <c r="F645" s="1107">
        <f>'Part VI-Revenues &amp; Expenses'!F11</f>
        <v>570</v>
      </c>
      <c r="G645" s="1107">
        <f>'Part VI-Revenues &amp; Expenses'!G11</f>
        <v>594</v>
      </c>
      <c r="H645" s="1107">
        <f>'Part VI-Revenues &amp; Expenses'!H11</f>
        <v>594</v>
      </c>
      <c r="I645" s="1107">
        <f>'Part VI-Revenues &amp; Expenses'!I11</f>
        <v>119</v>
      </c>
      <c r="J645" s="868" t="str">
        <f>'Part VI-Revenues &amp; Expenses'!J11</f>
        <v>HUD</v>
      </c>
      <c r="K645" s="943">
        <f t="shared" ref="K645:K661" si="172">MAX(0,H645-I645)</f>
        <v>475</v>
      </c>
      <c r="L645" s="943">
        <f t="shared" si="0"/>
        <v>7600</v>
      </c>
      <c r="M645" s="833" t="str">
        <f>'Part VI-Revenues &amp; Expenses'!M11</f>
        <v>No</v>
      </c>
      <c r="N645" s="833" t="str">
        <f>'Part VI-Revenues &amp; Expenses'!N11</f>
        <v>1-Story</v>
      </c>
      <c r="O645" s="833" t="str">
        <f>'Part VI-Revenues &amp; Expenses'!O11</f>
        <v>Acquisition/Rehab</v>
      </c>
      <c r="P645" s="944">
        <f>IF(H645="","",H645*12/0.3)</f>
        <v>23760</v>
      </c>
      <c r="Q645" s="945">
        <f>'Part VI-Revenues &amp; Expenses'!Q11</f>
        <v>0.636144578313253</v>
      </c>
      <c r="R645" s="944"/>
      <c r="S645" s="945"/>
      <c r="T645" s="1605"/>
      <c r="U645" s="1605"/>
      <c r="V645" s="579" t="str">
        <f t="shared" si="1"/>
        <v/>
      </c>
      <c r="W645" s="579">
        <f t="shared" si="2"/>
        <v>16</v>
      </c>
      <c r="X645" s="579" t="str">
        <f t="shared" si="3"/>
        <v/>
      </c>
      <c r="Y645" s="579" t="str">
        <f t="shared" si="4"/>
        <v/>
      </c>
      <c r="Z645" s="579" t="str">
        <f t="shared" si="5"/>
        <v/>
      </c>
      <c r="AA645" s="579" t="str">
        <f t="shared" si="6"/>
        <v/>
      </c>
      <c r="AB645" s="579" t="str">
        <f t="shared" si="7"/>
        <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f t="shared" ref="BA645:BA681" si="184">IF(OR(AND($C645=1,NOT($J645=""),NOT($J645=0),NOT($J645="PHA Oper Sub"),$B645="60% AMI",NOT($M645="Common")),AND($C645=1,NOT($J645=""),NOT($J645=0),NOT($J645="PHA Oper Sub"),$B645="HOME 60% AMI",NOT($M645="Common"))),$E645,"")</f>
        <v>16</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f t="shared" si="27"/>
        <v>9120</v>
      </c>
      <c r="CA645" s="579" t="str">
        <f t="shared" si="28"/>
        <v/>
      </c>
      <c r="CB645" s="579" t="str">
        <f t="shared" si="29"/>
        <v/>
      </c>
      <c r="CC645" s="579" t="str">
        <f t="shared" si="30"/>
        <v/>
      </c>
      <c r="CD645" s="579" t="str">
        <f t="shared" si="31"/>
        <v/>
      </c>
      <c r="CE645" s="579" t="str">
        <f t="shared" si="32"/>
        <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f t="shared" si="47"/>
        <v>9120</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t="str">
        <f t="shared" si="57"/>
        <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f t="shared" si="72"/>
        <v>16</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16</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f t="shared" si="127"/>
        <v>16</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t="str">
        <f t="shared" si="137"/>
        <v/>
      </c>
      <c r="GG645" s="835" t="str">
        <f t="shared" si="138"/>
        <v/>
      </c>
      <c r="GH645" s="835" t="str">
        <f t="shared" si="139"/>
        <v/>
      </c>
      <c r="GI645" s="835" t="str">
        <f t="shared" si="140"/>
        <v/>
      </c>
      <c r="GJ645" s="835" t="str">
        <f t="shared" si="141"/>
        <v/>
      </c>
      <c r="GK645" s="835" t="str">
        <f t="shared" si="142"/>
        <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50% AMI</v>
      </c>
      <c r="C646" s="1105">
        <f>'Part VI-Revenues &amp; Expenses'!C12</f>
        <v>2</v>
      </c>
      <c r="D646" s="1106">
        <f>'Part VI-Revenues &amp; Expenses'!D12</f>
        <v>1</v>
      </c>
      <c r="E646" s="1107">
        <f>'Part VI-Revenues &amp; Expenses'!E12</f>
        <v>47</v>
      </c>
      <c r="F646" s="1107">
        <f>'Part VI-Revenues &amp; Expenses'!F12</f>
        <v>857</v>
      </c>
      <c r="G646" s="1107">
        <f>'Part VI-Revenues &amp; Expenses'!G12</f>
        <v>665</v>
      </c>
      <c r="H646" s="1107">
        <f>'Part VI-Revenues &amp; Expenses'!H12</f>
        <v>665</v>
      </c>
      <c r="I646" s="1107">
        <f>'Part VI-Revenues &amp; Expenses'!I12</f>
        <v>148</v>
      </c>
      <c r="J646" s="868" t="str">
        <f>'Part VI-Revenues &amp; Expenses'!J12</f>
        <v>HUD</v>
      </c>
      <c r="K646" s="943">
        <f t="shared" si="172"/>
        <v>517</v>
      </c>
      <c r="L646" s="943">
        <f t="shared" si="0"/>
        <v>24299</v>
      </c>
      <c r="M646" s="833" t="str">
        <f>'Part VI-Revenues &amp; Expenses'!M12</f>
        <v>No</v>
      </c>
      <c r="N646" s="833" t="str">
        <f>'Part VI-Revenues &amp; Expenses'!N12</f>
        <v>2-Story</v>
      </c>
      <c r="O646" s="833" t="str">
        <f>'Part VI-Revenues &amp; Expenses'!O12</f>
        <v>Acquisition/Rehab</v>
      </c>
      <c r="P646" s="944">
        <f>IF(H646="","",H646*12/0.3)</f>
        <v>26600</v>
      </c>
      <c r="Q646" s="945">
        <f>'Part VI-Revenues &amp; Expenses'!Q12</f>
        <v>0.59348505131637663</v>
      </c>
      <c r="R646" s="944"/>
      <c r="S646" s="945"/>
      <c r="T646" s="1605"/>
      <c r="U646" s="1605"/>
      <c r="V646" s="579" t="str">
        <f t="shared" si="1"/>
        <v/>
      </c>
      <c r="W646" s="579" t="str">
        <f t="shared" si="2"/>
        <v/>
      </c>
      <c r="X646" s="579" t="str">
        <f t="shared" si="3"/>
        <v/>
      </c>
      <c r="Y646" s="579" t="str">
        <f t="shared" si="4"/>
        <v/>
      </c>
      <c r="Z646" s="579" t="str">
        <f t="shared" si="5"/>
        <v/>
      </c>
      <c r="AA646" s="579" t="str">
        <f t="shared" si="6"/>
        <v/>
      </c>
      <c r="AB646" s="579" t="str">
        <f t="shared" si="7"/>
        <v/>
      </c>
      <c r="AC646" s="579">
        <f t="shared" si="8"/>
        <v>47</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f t="shared" si="180"/>
        <v>47</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t="str">
        <f t="shared" si="27"/>
        <v/>
      </c>
      <c r="CA646" s="579" t="str">
        <f t="shared" si="28"/>
        <v/>
      </c>
      <c r="CB646" s="579" t="str">
        <f t="shared" si="29"/>
        <v/>
      </c>
      <c r="CC646" s="579" t="str">
        <f t="shared" si="30"/>
        <v/>
      </c>
      <c r="CD646" s="579" t="str">
        <f t="shared" si="31"/>
        <v/>
      </c>
      <c r="CE646" s="579" t="str">
        <f t="shared" si="32"/>
        <v/>
      </c>
      <c r="CF646" s="579">
        <f t="shared" si="33"/>
        <v>40279</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f t="shared" si="48"/>
        <v>40279</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t="str">
        <f t="shared" si="58"/>
        <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f t="shared" si="73"/>
        <v>47</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t="str">
        <f t="shared" si="102"/>
        <v/>
      </c>
      <c r="EX646" s="835">
        <f t="shared" si="103"/>
        <v>47</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t="str">
        <f t="shared" si="132"/>
        <v/>
      </c>
      <c r="GB646" s="835">
        <f t="shared" si="133"/>
        <v>47</v>
      </c>
      <c r="GC646" s="835" t="str">
        <f t="shared" si="134"/>
        <v/>
      </c>
      <c r="GD646" s="835" t="str">
        <f t="shared" si="135"/>
        <v/>
      </c>
      <c r="GE646" s="835" t="str">
        <f t="shared" si="136"/>
        <v/>
      </c>
      <c r="GF646" s="835" t="str">
        <f t="shared" si="137"/>
        <v/>
      </c>
      <c r="GG646" s="835" t="str">
        <f t="shared" si="138"/>
        <v/>
      </c>
      <c r="GH646" s="835" t="str">
        <f t="shared" si="139"/>
        <v/>
      </c>
      <c r="GI646" s="835" t="str">
        <f t="shared" si="140"/>
        <v/>
      </c>
      <c r="GJ646" s="835" t="str">
        <f t="shared" si="141"/>
        <v/>
      </c>
      <c r="GK646" s="835" t="str">
        <f t="shared" si="142"/>
        <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2</v>
      </c>
      <c r="D647" s="1106">
        <f>'Part VI-Revenues &amp; Expenses'!D13</f>
        <v>1</v>
      </c>
      <c r="E647" s="1107">
        <f>'Part VI-Revenues &amp; Expenses'!E13</f>
        <v>1</v>
      </c>
      <c r="F647" s="1107">
        <f>'Part VI-Revenues &amp; Expenses'!F13</f>
        <v>857</v>
      </c>
      <c r="G647" s="1107">
        <f>'Part VI-Revenues &amp; Expenses'!G13</f>
        <v>0</v>
      </c>
      <c r="H647" s="1107">
        <f>'Part VI-Revenues &amp; Expenses'!H13</f>
        <v>0</v>
      </c>
      <c r="I647" s="1107">
        <f>'Part VI-Revenues &amp; Expenses'!I13</f>
        <v>0</v>
      </c>
      <c r="J647" s="868">
        <f>'Part VI-Revenues &amp; Expenses'!J13</f>
        <v>0</v>
      </c>
      <c r="K647" s="943">
        <f t="shared" si="172"/>
        <v>0</v>
      </c>
      <c r="L647" s="943">
        <f t="shared" si="0"/>
        <v>0</v>
      </c>
      <c r="M647" s="833" t="str">
        <f>'Part VI-Revenues &amp; Expenses'!M13</f>
        <v>Residential</v>
      </c>
      <c r="N647" s="833" t="str">
        <f>'Part VI-Revenues &amp; Expenses'!N13</f>
        <v>2-Story</v>
      </c>
      <c r="O647" s="833" t="str">
        <f>'Part VI-Revenues &amp; Expenses'!O13</f>
        <v>Acquisition/Rehab</v>
      </c>
      <c r="P647" s="944">
        <f>IF(H647="","",H647*12/0.3)</f>
        <v>0</v>
      </c>
      <c r="Q647" s="945">
        <f>'Part VI-Revenues &amp; Expenses'!Q13</f>
        <v>0</v>
      </c>
      <c r="R647" s="944"/>
      <c r="S647" s="945"/>
      <c r="T647" s="1605"/>
      <c r="U647" s="1605"/>
      <c r="V647" s="579" t="str">
        <f t="shared" si="1"/>
        <v/>
      </c>
      <c r="W647" s="579" t="str">
        <f t="shared" si="2"/>
        <v/>
      </c>
      <c r="X647" s="579">
        <f t="shared" si="3"/>
        <v>1</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f t="shared" si="28"/>
        <v>857</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t="str">
        <f t="shared" si="58"/>
        <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f t="shared" si="73"/>
        <v>1</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1</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t="str">
        <f t="shared" si="132"/>
        <v/>
      </c>
      <c r="GB647" s="835">
        <f t="shared" si="133"/>
        <v>1</v>
      </c>
      <c r="GC647" s="835" t="str">
        <f t="shared" si="134"/>
        <v/>
      </c>
      <c r="GD647" s="835" t="str">
        <f t="shared" si="135"/>
        <v/>
      </c>
      <c r="GE647" s="835" t="str">
        <f t="shared" si="136"/>
        <v/>
      </c>
      <c r="GF647" s="835" t="str">
        <f t="shared" si="137"/>
        <v/>
      </c>
      <c r="GG647" s="835" t="str">
        <f t="shared" si="138"/>
        <v/>
      </c>
      <c r="GH647" s="835" t="str">
        <f t="shared" si="139"/>
        <v/>
      </c>
      <c r="GI647" s="835" t="str">
        <f t="shared" si="140"/>
        <v/>
      </c>
      <c r="GJ647" s="835" t="str">
        <f t="shared" si="141"/>
        <v/>
      </c>
      <c r="GK647" s="835" t="str">
        <f t="shared" si="142"/>
        <v/>
      </c>
      <c r="GL647" s="835" t="str">
        <f t="shared" si="143"/>
        <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50% AMI</v>
      </c>
      <c r="C648" s="1105">
        <f>'Part VI-Revenues &amp; Expenses'!C14</f>
        <v>3</v>
      </c>
      <c r="D648" s="1106">
        <f>'Part VI-Revenues &amp; Expenses'!D14</f>
        <v>1.5</v>
      </c>
      <c r="E648" s="1107">
        <f>'Part VI-Revenues &amp; Expenses'!E14</f>
        <v>24</v>
      </c>
      <c r="F648" s="1107">
        <f>'Part VI-Revenues &amp; Expenses'!F14</f>
        <v>1155</v>
      </c>
      <c r="G648" s="1107">
        <f>'Part VI-Revenues &amp; Expenses'!G14</f>
        <v>738</v>
      </c>
      <c r="H648" s="1107">
        <f>'Part VI-Revenues &amp; Expenses'!H14</f>
        <v>738</v>
      </c>
      <c r="I648" s="1107">
        <f>'Part VI-Revenues &amp; Expenses'!I14</f>
        <v>158</v>
      </c>
      <c r="J648" s="868" t="str">
        <f>'Part VI-Revenues &amp; Expenses'!J14</f>
        <v>HUD</v>
      </c>
      <c r="K648" s="943">
        <f t="shared" si="172"/>
        <v>580</v>
      </c>
      <c r="L648" s="943">
        <f t="shared" si="0"/>
        <v>13920</v>
      </c>
      <c r="M648" s="833" t="str">
        <f>'Part VI-Revenues &amp; Expenses'!M14</f>
        <v>No</v>
      </c>
      <c r="N648" s="833" t="str">
        <f>'Part VI-Revenues &amp; Expenses'!N14</f>
        <v>Townhome</v>
      </c>
      <c r="O648" s="833" t="str">
        <f>'Part VI-Revenues &amp; Expenses'!O14</f>
        <v>Acquisition/Rehab</v>
      </c>
      <c r="P648" s="944">
        <f>IF(H648="","",H648*12/0.3)</f>
        <v>29520</v>
      </c>
      <c r="Q648" s="945">
        <f>'Part VI-Revenues &amp; Expenses'!Q14</f>
        <v>0.56997219647822062</v>
      </c>
      <c r="R648" s="944"/>
      <c r="S648" s="945"/>
      <c r="T648" s="1605"/>
      <c r="U648" s="160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f t="shared" si="9"/>
        <v>24</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f t="shared" si="181"/>
        <v>24</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f t="shared" si="34"/>
        <v>27720</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f t="shared" si="49"/>
        <v>27720</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f t="shared" si="74"/>
        <v>24</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t="str">
        <f t="shared" si="104"/>
        <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f t="shared" si="124"/>
        <v>24</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t="str">
        <f t="shared" si="139"/>
        <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60% AMI</v>
      </c>
      <c r="C649" s="1105">
        <f>'Part VI-Revenues &amp; Expenses'!C15</f>
        <v>4</v>
      </c>
      <c r="D649" s="1106">
        <f>'Part VI-Revenues &amp; Expenses'!D15</f>
        <v>2</v>
      </c>
      <c r="E649" s="1107">
        <f>'Part VI-Revenues &amp; Expenses'!E15</f>
        <v>5</v>
      </c>
      <c r="F649" s="1107">
        <f>'Part VI-Revenues &amp; Expenses'!F15</f>
        <v>1198</v>
      </c>
      <c r="G649" s="1107">
        <f>'Part VI-Revenues &amp; Expenses'!G15</f>
        <v>842</v>
      </c>
      <c r="H649" s="1107">
        <f>'Part VI-Revenues &amp; Expenses'!H15</f>
        <v>842</v>
      </c>
      <c r="I649" s="1107">
        <f>'Part VI-Revenues &amp; Expenses'!I15</f>
        <v>180</v>
      </c>
      <c r="J649" s="868" t="str">
        <f>'Part VI-Revenues &amp; Expenses'!J15</f>
        <v>HUD</v>
      </c>
      <c r="K649" s="943">
        <f t="shared" si="172"/>
        <v>662</v>
      </c>
      <c r="L649" s="943">
        <f t="shared" si="0"/>
        <v>3310</v>
      </c>
      <c r="M649" s="833" t="str">
        <f>'Part VI-Revenues &amp; Expenses'!M15</f>
        <v>No</v>
      </c>
      <c r="N649" s="833" t="str">
        <f>'Part VI-Revenues &amp; Expenses'!N15</f>
        <v>SF Detached</v>
      </c>
      <c r="O649" s="833" t="str">
        <f>'Part VI-Revenues &amp; Expenses'!O15</f>
        <v>Acquisition/Rehab</v>
      </c>
      <c r="P649" s="944">
        <f t="shared" ref="P649:P681" si="203">IF(H649="","",H649*12/0.3)</f>
        <v>33680</v>
      </c>
      <c r="Q649" s="945">
        <f>'Part VI-Revenues &amp; Expenses'!Q15</f>
        <v>0.58302174214097779</v>
      </c>
      <c r="R649" s="944"/>
      <c r="S649" s="945"/>
      <c r="T649" s="1605"/>
      <c r="U649" s="1605"/>
      <c r="V649" s="579" t="str">
        <f t="shared" si="1"/>
        <v/>
      </c>
      <c r="W649" s="579" t="str">
        <f t="shared" si="2"/>
        <v/>
      </c>
      <c r="X649" s="579" t="str">
        <f t="shared" si="3"/>
        <v/>
      </c>
      <c r="Y649" s="579" t="str">
        <f t="shared" si="4"/>
        <v/>
      </c>
      <c r="Z649" s="579">
        <f t="shared" si="5"/>
        <v>5</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f t="shared" si="187"/>
        <v>5</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f t="shared" si="30"/>
        <v>5990</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f t="shared" si="50"/>
        <v>5990</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f t="shared" si="75"/>
        <v>5</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t="str">
        <f t="shared" si="104"/>
        <v/>
      </c>
      <c r="EZ649" s="835" t="str">
        <f t="shared" si="105"/>
        <v/>
      </c>
      <c r="FA649" s="835" t="str">
        <f t="shared" si="106"/>
        <v/>
      </c>
      <c r="FB649" s="835" t="str">
        <f t="shared" si="107"/>
        <v/>
      </c>
      <c r="FC649" s="835" t="str">
        <f t="shared" si="108"/>
        <v/>
      </c>
      <c r="FD649" s="835" t="str">
        <f t="shared" si="109"/>
        <v/>
      </c>
      <c r="FE649" s="835">
        <f t="shared" si="110"/>
        <v>5</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t="str">
        <f t="shared" si="139"/>
        <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&lt;&lt;Select&gt;&gt;</v>
      </c>
      <c r="C650" s="1105">
        <f>'Part VI-Revenues &amp; Expenses'!C16</f>
        <v>0</v>
      </c>
      <c r="D650" s="1106">
        <f>'Part VI-Revenues &amp; Expenses'!D16</f>
        <v>0</v>
      </c>
      <c r="E650" s="1107">
        <f>'Part VI-Revenues &amp; Expenses'!E16</f>
        <v>0</v>
      </c>
      <c r="F650" s="1107">
        <f>'Part VI-Revenues &amp; Expenses'!F16</f>
        <v>0</v>
      </c>
      <c r="G650" s="1107">
        <f>'Part VI-Revenues &amp; Expenses'!G16</f>
        <v>0</v>
      </c>
      <c r="H650" s="1107">
        <f>'Part VI-Revenues &amp; Expenses'!H16</f>
        <v>0</v>
      </c>
      <c r="I650" s="1107">
        <f>'Part VI-Revenues &amp; Expenses'!I16</f>
        <v>0</v>
      </c>
      <c r="J650" s="868">
        <f>'Part VI-Revenues &amp; Expenses'!J16</f>
        <v>0</v>
      </c>
      <c r="K650" s="943">
        <f t="shared" si="172"/>
        <v>0</v>
      </c>
      <c r="L650" s="943">
        <f t="shared" si="0"/>
        <v>0</v>
      </c>
      <c r="M650" s="833">
        <f>'Part VI-Revenues &amp; Expenses'!M16</f>
        <v>0</v>
      </c>
      <c r="N650" s="833">
        <f>'Part VI-Revenues &amp; Expenses'!N16</f>
        <v>0</v>
      </c>
      <c r="O650" s="833">
        <f>'Part VI-Revenues &amp; Expenses'!O16</f>
        <v>0</v>
      </c>
      <c r="P650" s="944">
        <f t="shared" si="203"/>
        <v>0</v>
      </c>
      <c r="Q650" s="945" t="str">
        <f>'Part VI-Revenues &amp; Expenses'!Q16</f>
        <v/>
      </c>
      <c r="R650" s="944"/>
      <c r="S650" s="945"/>
      <c r="T650" s="1605"/>
      <c r="U650" s="1605"/>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&lt;&lt;Select&gt;&gt;</v>
      </c>
      <c r="C651" s="1105">
        <f>'Part VI-Revenues &amp; Expenses'!C17</f>
        <v>0</v>
      </c>
      <c r="D651" s="1106">
        <f>'Part VI-Revenues &amp; Expenses'!D17</f>
        <v>0</v>
      </c>
      <c r="E651" s="1107">
        <f>'Part VI-Revenues &amp; Expenses'!E17</f>
        <v>0</v>
      </c>
      <c r="F651" s="1107">
        <f>'Part VI-Revenues &amp; Expenses'!F17</f>
        <v>0</v>
      </c>
      <c r="G651" s="1107">
        <f>'Part VI-Revenues &amp; Expenses'!G17</f>
        <v>0</v>
      </c>
      <c r="H651" s="1107">
        <f>'Part VI-Revenues &amp; Expenses'!H17</f>
        <v>0</v>
      </c>
      <c r="I651" s="1107">
        <f>'Part VI-Revenues &amp; Expenses'!I17</f>
        <v>0</v>
      </c>
      <c r="J651" s="868">
        <f>'Part VI-Revenues &amp; Expenses'!J17</f>
        <v>0</v>
      </c>
      <c r="K651" s="943">
        <f t="shared" si="172"/>
        <v>0</v>
      </c>
      <c r="L651" s="943">
        <f t="shared" si="0"/>
        <v>0</v>
      </c>
      <c r="M651" s="833">
        <f>'Part VI-Revenues &amp; Expenses'!M17</f>
        <v>0</v>
      </c>
      <c r="N651" s="833">
        <f>'Part VI-Revenues &amp; Expenses'!N17</f>
        <v>0</v>
      </c>
      <c r="O651" s="833">
        <f>'Part VI-Revenues &amp; Expenses'!O17</f>
        <v>0</v>
      </c>
      <c r="P651" s="944">
        <f t="shared" si="203"/>
        <v>0</v>
      </c>
      <c r="Q651" s="945" t="str">
        <f>'Part VI-Revenues &amp; Expenses'!Q17</f>
        <v/>
      </c>
      <c r="R651" s="944"/>
      <c r="S651" s="945"/>
      <c r="T651" s="1605"/>
      <c r="U651" s="1605"/>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t="str">
        <f t="shared" si="103"/>
        <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&lt;&lt;Select&gt;&gt;</v>
      </c>
      <c r="C652" s="1105">
        <f>'Part VI-Revenues &amp; Expenses'!C18</f>
        <v>0</v>
      </c>
      <c r="D652" s="1106">
        <f>'Part VI-Revenues &amp; Expenses'!D18</f>
        <v>0</v>
      </c>
      <c r="E652" s="1107">
        <f>'Part VI-Revenues &amp; Expenses'!E18</f>
        <v>0</v>
      </c>
      <c r="F652" s="1107">
        <f>'Part VI-Revenues &amp; Expenses'!F18</f>
        <v>0</v>
      </c>
      <c r="G652" s="1107">
        <f>'Part VI-Revenues &amp; Expenses'!G18</f>
        <v>0</v>
      </c>
      <c r="H652" s="1107">
        <f>'Part VI-Revenues &amp; Expenses'!H18</f>
        <v>0</v>
      </c>
      <c r="I652" s="1107">
        <f>'Part VI-Revenues &amp; Expenses'!I18</f>
        <v>0</v>
      </c>
      <c r="J652" s="868">
        <f>'Part VI-Revenues &amp; Expenses'!J18</f>
        <v>0</v>
      </c>
      <c r="K652" s="943">
        <f t="shared" si="172"/>
        <v>0</v>
      </c>
      <c r="L652" s="943">
        <f t="shared" si="0"/>
        <v>0</v>
      </c>
      <c r="M652" s="833">
        <f>'Part VI-Revenues &amp; Expenses'!M18</f>
        <v>0</v>
      </c>
      <c r="N652" s="833">
        <f>'Part VI-Revenues &amp; Expenses'!N18</f>
        <v>0</v>
      </c>
      <c r="O652" s="833">
        <f>'Part VI-Revenues &amp; Expenses'!O18</f>
        <v>0</v>
      </c>
      <c r="P652" s="944">
        <f t="shared" si="203"/>
        <v>0</v>
      </c>
      <c r="Q652" s="945" t="str">
        <f>'Part VI-Revenues &amp; Expenses'!Q18</f>
        <v/>
      </c>
      <c r="R652" s="944"/>
      <c r="S652" s="945"/>
      <c r="T652" s="1605"/>
      <c r="U652" s="1605"/>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t="str">
        <f t="shared" si="103"/>
        <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&lt;&lt;Select&gt;&gt;</v>
      </c>
      <c r="C653" s="1105">
        <f>'Part VI-Revenues &amp; Expenses'!C19</f>
        <v>0</v>
      </c>
      <c r="D653" s="1106">
        <f>'Part VI-Revenues &amp; Expenses'!D19</f>
        <v>0</v>
      </c>
      <c r="E653" s="1107">
        <f>'Part VI-Revenues &amp; Expenses'!E19</f>
        <v>0</v>
      </c>
      <c r="F653" s="1107">
        <f>'Part VI-Revenues &amp; Expenses'!F19</f>
        <v>0</v>
      </c>
      <c r="G653" s="1107">
        <f>'Part VI-Revenues &amp; Expenses'!G19</f>
        <v>0</v>
      </c>
      <c r="H653" s="1107">
        <f>'Part VI-Revenues &amp; Expenses'!H19</f>
        <v>0</v>
      </c>
      <c r="I653" s="1107">
        <f>'Part VI-Revenues &amp; Expenses'!I19</f>
        <v>0</v>
      </c>
      <c r="J653" s="868">
        <f>'Part VI-Revenues &amp; Expenses'!J19</f>
        <v>0</v>
      </c>
      <c r="K653" s="943">
        <f t="shared" si="172"/>
        <v>0</v>
      </c>
      <c r="L653" s="943">
        <f t="shared" si="0"/>
        <v>0</v>
      </c>
      <c r="M653" s="833">
        <f>'Part VI-Revenues &amp; Expenses'!M19</f>
        <v>0</v>
      </c>
      <c r="N653" s="833">
        <f>'Part VI-Revenues &amp; Expenses'!N19</f>
        <v>0</v>
      </c>
      <c r="O653" s="833">
        <f>'Part VI-Revenues &amp; Expenses'!O19</f>
        <v>0</v>
      </c>
      <c r="P653" s="944">
        <f t="shared" si="203"/>
        <v>0</v>
      </c>
      <c r="Q653" s="945" t="str">
        <f>'Part VI-Revenues &amp; Expenses'!Q19</f>
        <v/>
      </c>
      <c r="R653" s="944"/>
      <c r="S653" s="945"/>
      <c r="T653" s="1605"/>
      <c r="U653" s="1605"/>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&lt;&lt;Select&gt;&gt;</v>
      </c>
      <c r="C654" s="1105">
        <f>'Part VI-Revenues &amp; Expenses'!C20</f>
        <v>0</v>
      </c>
      <c r="D654" s="1106">
        <f>'Part VI-Revenues &amp; Expenses'!D20</f>
        <v>0</v>
      </c>
      <c r="E654" s="1107">
        <f>'Part VI-Revenues &amp; Expenses'!E20</f>
        <v>0</v>
      </c>
      <c r="F654" s="1107">
        <f>'Part VI-Revenues &amp; Expenses'!F20</f>
        <v>0</v>
      </c>
      <c r="G654" s="1107">
        <f>'Part VI-Revenues &amp; Expenses'!G20</f>
        <v>0</v>
      </c>
      <c r="H654" s="1107">
        <f>'Part VI-Revenues &amp; Expenses'!H20</f>
        <v>0</v>
      </c>
      <c r="I654" s="1107">
        <f>'Part VI-Revenues &amp; Expenses'!I20</f>
        <v>0</v>
      </c>
      <c r="J654" s="868">
        <f>'Part VI-Revenues &amp; Expenses'!J20</f>
        <v>0</v>
      </c>
      <c r="K654" s="943">
        <f t="shared" si="172"/>
        <v>0</v>
      </c>
      <c r="L654" s="943">
        <f t="shared" si="0"/>
        <v>0</v>
      </c>
      <c r="M654" s="833">
        <f>'Part VI-Revenues &amp; Expenses'!M20</f>
        <v>0</v>
      </c>
      <c r="N654" s="833">
        <f>'Part VI-Revenues &amp; Expenses'!N20</f>
        <v>0</v>
      </c>
      <c r="O654" s="833">
        <f>'Part VI-Revenues &amp; Expenses'!O20</f>
        <v>0</v>
      </c>
      <c r="P654" s="944">
        <f t="shared" si="203"/>
        <v>0</v>
      </c>
      <c r="Q654" s="945" t="str">
        <f>'Part VI-Revenues &amp; Expenses'!Q20</f>
        <v/>
      </c>
      <c r="R654" s="944"/>
      <c r="S654" s="945"/>
      <c r="T654" s="1605"/>
      <c r="U654" s="1605"/>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605"/>
      <c r="U655" s="160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1081</v>
      </c>
      <c r="E682" s="943">
        <f>SUM(E644:E681)</f>
        <v>132</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106196</v>
      </c>
      <c r="G682" s="584"/>
      <c r="H682" s="584"/>
      <c r="I682" s="584"/>
      <c r="J682" s="584"/>
      <c r="K682" s="947" t="s">
        <v>1389</v>
      </c>
      <c r="L682" s="943">
        <f>SUM(L644:L681)</f>
        <v>67654</v>
      </c>
      <c r="M682" s="582"/>
      <c r="N682" s="582"/>
      <c r="O682" s="582"/>
      <c r="P682" s="582"/>
      <c r="Q682" s="582"/>
      <c r="R682" s="582"/>
      <c r="S682" s="582"/>
      <c r="T682" s="940"/>
      <c r="U682" s="837"/>
      <c r="V682" s="837">
        <f t="shared" ref="V682:CK682" si="206">SUM(V644:V681)</f>
        <v>0</v>
      </c>
      <c r="W682" s="837">
        <f t="shared" si="206"/>
        <v>55</v>
      </c>
      <c r="X682" s="837">
        <f t="shared" si="206"/>
        <v>1</v>
      </c>
      <c r="Y682" s="837">
        <f t="shared" si="206"/>
        <v>0</v>
      </c>
      <c r="Z682" s="837">
        <f t="shared" si="206"/>
        <v>5</v>
      </c>
      <c r="AA682" s="837">
        <f t="shared" si="206"/>
        <v>0</v>
      </c>
      <c r="AB682" s="837">
        <f t="shared" si="206"/>
        <v>0</v>
      </c>
      <c r="AC682" s="837">
        <f t="shared" si="206"/>
        <v>47</v>
      </c>
      <c r="AD682" s="837">
        <f t="shared" si="206"/>
        <v>24</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0</v>
      </c>
      <c r="AW682" s="837">
        <f t="shared" si="206"/>
        <v>47</v>
      </c>
      <c r="AX682" s="837">
        <f t="shared" si="206"/>
        <v>24</v>
      </c>
      <c r="AY682" s="837">
        <f t="shared" si="206"/>
        <v>0</v>
      </c>
      <c r="AZ682" s="837">
        <f t="shared" si="206"/>
        <v>0</v>
      </c>
      <c r="BA682" s="837">
        <f t="shared" si="206"/>
        <v>55</v>
      </c>
      <c r="BB682" s="837">
        <f t="shared" si="206"/>
        <v>0</v>
      </c>
      <c r="BC682" s="837">
        <f t="shared" si="206"/>
        <v>0</v>
      </c>
      <c r="BD682" s="837">
        <f t="shared" si="206"/>
        <v>5</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31350</v>
      </c>
      <c r="CA682" s="837">
        <f t="shared" si="206"/>
        <v>857</v>
      </c>
      <c r="CB682" s="837">
        <f t="shared" si="206"/>
        <v>0</v>
      </c>
      <c r="CC682" s="837">
        <f t="shared" si="206"/>
        <v>5990</v>
      </c>
      <c r="CD682" s="837">
        <f t="shared" si="206"/>
        <v>0</v>
      </c>
      <c r="CE682" s="837">
        <f t="shared" si="206"/>
        <v>0</v>
      </c>
      <c r="CF682" s="837">
        <f t="shared" si="206"/>
        <v>40279</v>
      </c>
      <c r="CG682" s="837">
        <f t="shared" si="206"/>
        <v>27720</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31350</v>
      </c>
      <c r="CU682" s="837">
        <f t="shared" si="207"/>
        <v>40279</v>
      </c>
      <c r="CV682" s="837">
        <f t="shared" si="207"/>
        <v>27720</v>
      </c>
      <c r="CW682" s="837">
        <f t="shared" si="207"/>
        <v>5990</v>
      </c>
      <c r="CX682" s="837">
        <f t="shared" si="207"/>
        <v>0</v>
      </c>
      <c r="CY682" s="837">
        <f t="shared" si="207"/>
        <v>0</v>
      </c>
      <c r="CZ682" s="837">
        <f t="shared" si="207"/>
        <v>0</v>
      </c>
      <c r="DA682" s="837">
        <f t="shared" si="207"/>
        <v>0</v>
      </c>
      <c r="DB682" s="837">
        <f t="shared" si="207"/>
        <v>0</v>
      </c>
      <c r="DC682" s="837">
        <f t="shared" si="207"/>
        <v>0</v>
      </c>
      <c r="DD682" s="837">
        <f t="shared" si="207"/>
        <v>0</v>
      </c>
      <c r="DE682" s="837">
        <f t="shared" si="207"/>
        <v>0</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55</v>
      </c>
      <c r="DT682" s="837">
        <f t="shared" si="207"/>
        <v>48</v>
      </c>
      <c r="DU682" s="837">
        <f t="shared" si="207"/>
        <v>24</v>
      </c>
      <c r="DV682" s="837">
        <f t="shared" si="207"/>
        <v>5</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55</v>
      </c>
      <c r="EX682" s="837">
        <f t="shared" si="208"/>
        <v>48</v>
      </c>
      <c r="EY682" s="837">
        <f t="shared" si="208"/>
        <v>0</v>
      </c>
      <c r="EZ682" s="837">
        <f t="shared" si="208"/>
        <v>0</v>
      </c>
      <c r="FA682" s="837">
        <f t="shared" si="208"/>
        <v>0</v>
      </c>
      <c r="FB682" s="837">
        <f t="shared" si="208"/>
        <v>0</v>
      </c>
      <c r="FC682" s="837">
        <f t="shared" si="208"/>
        <v>0</v>
      </c>
      <c r="FD682" s="837">
        <f t="shared" si="208"/>
        <v>0</v>
      </c>
      <c r="FE682" s="837">
        <f t="shared" si="208"/>
        <v>5</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24</v>
      </c>
      <c r="FT682" s="837">
        <f t="shared" si="208"/>
        <v>0</v>
      </c>
      <c r="FU682" s="837">
        <f t="shared" si="208"/>
        <v>0</v>
      </c>
      <c r="FV682" s="837">
        <f t="shared" si="208"/>
        <v>55</v>
      </c>
      <c r="FW682" s="837">
        <f t="shared" si="208"/>
        <v>0</v>
      </c>
      <c r="FX682" s="837">
        <f t="shared" si="208"/>
        <v>0</v>
      </c>
      <c r="FY682" s="837">
        <f t="shared" si="208"/>
        <v>0</v>
      </c>
      <c r="FZ682" s="837">
        <f t="shared" si="208"/>
        <v>0</v>
      </c>
      <c r="GA682" s="837">
        <f t="shared" si="208"/>
        <v>0</v>
      </c>
      <c r="GB682" s="837">
        <f t="shared" si="208"/>
        <v>48</v>
      </c>
      <c r="GC682" s="837">
        <f t="shared" si="208"/>
        <v>0</v>
      </c>
      <c r="GD682" s="837">
        <f t="shared" si="208"/>
        <v>0</v>
      </c>
      <c r="GE682" s="837">
        <f t="shared" si="208"/>
        <v>0</v>
      </c>
      <c r="GF682" s="837">
        <f t="shared" si="208"/>
        <v>0</v>
      </c>
      <c r="GG682" s="837">
        <f t="shared" si="208"/>
        <v>0</v>
      </c>
      <c r="GH682" s="837">
        <f t="shared" si="208"/>
        <v>0</v>
      </c>
      <c r="GI682" s="837">
        <f t="shared" si="208"/>
        <v>0</v>
      </c>
      <c r="GJ682" s="837">
        <f t="shared" si="208"/>
        <v>0</v>
      </c>
      <c r="GK682" s="837">
        <f t="shared" si="208"/>
        <v>0</v>
      </c>
      <c r="GL682" s="837">
        <f t="shared" si="208"/>
        <v>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869</v>
      </c>
      <c r="L683" s="943">
        <f>L682*12</f>
        <v>811848</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3673</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791</v>
      </c>
      <c r="B687" s="838" t="s">
        <v>568</v>
      </c>
      <c r="Q687" s="1703" t="str">
        <f>IF(SUM(Q690:Q734)&gt;0,"ERROR Between Rent Schedule &amp; Unit Summary:", "")</f>
        <v>ERROR Between Rent Schedule &amp; Unit Summary:</v>
      </c>
      <c r="R687" s="948"/>
      <c r="S687" s="948"/>
      <c r="T687" s="585" t="str">
        <f>B687</f>
        <v>UNIT SUMMARY</v>
      </c>
      <c r="U687" s="838" t="s">
        <v>568</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1205</v>
      </c>
      <c r="H689" s="581" t="s">
        <v>602</v>
      </c>
      <c r="I689" s="581" t="s">
        <v>569</v>
      </c>
      <c r="J689" s="581" t="s">
        <v>570</v>
      </c>
      <c r="K689" s="581" t="s">
        <v>571</v>
      </c>
      <c r="L689" s="581" t="s">
        <v>572</v>
      </c>
      <c r="M689" s="581" t="s">
        <v>573</v>
      </c>
      <c r="Q689" s="1704"/>
      <c r="R689" s="949"/>
      <c r="S689" s="949"/>
      <c r="T689" s="1705" t="s">
        <v>1975</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1207</v>
      </c>
      <c r="D690" s="582"/>
      <c r="E690" s="582"/>
      <c r="F690" s="582"/>
      <c r="G690" s="583" t="s">
        <v>1219</v>
      </c>
      <c r="H690" s="950">
        <f>V682</f>
        <v>0</v>
      </c>
      <c r="I690" s="950">
        <f>W682</f>
        <v>55</v>
      </c>
      <c r="J690" s="950">
        <f>X682</f>
        <v>1</v>
      </c>
      <c r="K690" s="950">
        <f>Y682</f>
        <v>0</v>
      </c>
      <c r="L690" s="950">
        <f>Z682</f>
        <v>5</v>
      </c>
      <c r="M690" s="950">
        <f t="shared" ref="M690:M696" si="210">SUM(H690:L690)</f>
        <v>61</v>
      </c>
      <c r="N690" s="1580" t="s">
        <v>947</v>
      </c>
      <c r="O690" s="1580"/>
      <c r="P690" s="951"/>
      <c r="Q690" s="952">
        <f t="shared" ref="Q690:Q696" si="211">ABS(M690-AF690)</f>
        <v>61</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465</v>
      </c>
      <c r="B691" s="1706"/>
      <c r="C691" s="585"/>
      <c r="D691" s="582"/>
      <c r="E691" s="582"/>
      <c r="F691" s="582"/>
      <c r="G691" s="583" t="s">
        <v>121</v>
      </c>
      <c r="H691" s="950">
        <f>AA682</f>
        <v>0</v>
      </c>
      <c r="I691" s="950">
        <f>AB682</f>
        <v>0</v>
      </c>
      <c r="J691" s="950">
        <f>AC682</f>
        <v>47</v>
      </c>
      <c r="K691" s="950">
        <f>AD682</f>
        <v>24</v>
      </c>
      <c r="L691" s="950">
        <f>AE682</f>
        <v>0</v>
      </c>
      <c r="M691" s="950">
        <f t="shared" si="210"/>
        <v>71</v>
      </c>
      <c r="N691" s="1580"/>
      <c r="O691" s="1580"/>
      <c r="P691" s="951"/>
      <c r="Q691" s="952">
        <f t="shared" si="211"/>
        <v>71</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573</v>
      </c>
      <c r="H692" s="950">
        <f>SUM(H690:H691)</f>
        <v>0</v>
      </c>
      <c r="I692" s="950">
        <f>SUM(I690:I691)</f>
        <v>55</v>
      </c>
      <c r="J692" s="950">
        <f>SUM(J690:J691)</f>
        <v>48</v>
      </c>
      <c r="K692" s="950">
        <f>SUM(K690:K691)</f>
        <v>24</v>
      </c>
      <c r="L692" s="950">
        <f>SUM(L690:L691)</f>
        <v>5</v>
      </c>
      <c r="M692" s="950">
        <f t="shared" si="210"/>
        <v>132</v>
      </c>
      <c r="N692" s="953"/>
      <c r="Q692" s="952">
        <f t="shared" si="211"/>
        <v>132</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320</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1208</v>
      </c>
      <c r="D694" s="582"/>
      <c r="E694" s="582"/>
      <c r="F694" s="582"/>
      <c r="G694" s="583"/>
      <c r="H694" s="950">
        <f>SUM(H692:H693)</f>
        <v>0</v>
      </c>
      <c r="I694" s="950">
        <f>SUM(I692:I693)</f>
        <v>55</v>
      </c>
      <c r="J694" s="950">
        <f>SUM(J692:J693)</f>
        <v>48</v>
      </c>
      <c r="K694" s="950">
        <f>SUM(K692:K693)</f>
        <v>24</v>
      </c>
      <c r="L694" s="950">
        <f>SUM(L692:L693)</f>
        <v>5</v>
      </c>
      <c r="M694" s="950">
        <f t="shared" si="210"/>
        <v>132</v>
      </c>
      <c r="N694" s="565"/>
      <c r="Q694" s="952">
        <f t="shared" si="211"/>
        <v>132</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2683</v>
      </c>
      <c r="D695" s="582"/>
      <c r="E695" s="582"/>
      <c r="F695" s="582"/>
      <c r="G695" s="583"/>
      <c r="H695" s="950">
        <f>BT682</f>
        <v>0</v>
      </c>
      <c r="I695" s="950">
        <f>BU682</f>
        <v>0</v>
      </c>
      <c r="J695" s="950">
        <f>BV682</f>
        <v>0</v>
      </c>
      <c r="K695" s="950">
        <f>BW682</f>
        <v>0</v>
      </c>
      <c r="L695" s="950">
        <f>BX682</f>
        <v>0</v>
      </c>
      <c r="M695" s="950">
        <f t="shared" si="210"/>
        <v>0</v>
      </c>
      <c r="N695" s="583" t="s">
        <v>2357</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573</v>
      </c>
      <c r="D696" s="582"/>
      <c r="E696" s="582"/>
      <c r="F696" s="582"/>
      <c r="G696" s="583"/>
      <c r="H696" s="950">
        <f>SUM(H694:H695)</f>
        <v>0</v>
      </c>
      <c r="I696" s="950">
        <f>SUM(I694:I695)</f>
        <v>55</v>
      </c>
      <c r="J696" s="950">
        <f>SUM(J694:J695)</f>
        <v>48</v>
      </c>
      <c r="K696" s="950">
        <f>SUM(K694:K695)</f>
        <v>24</v>
      </c>
      <c r="L696" s="950">
        <f>SUM(L694:L695)</f>
        <v>5</v>
      </c>
      <c r="M696" s="950">
        <f t="shared" si="210"/>
        <v>132</v>
      </c>
      <c r="Q696" s="952">
        <f t="shared" si="211"/>
        <v>132</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991</v>
      </c>
      <c r="D698" s="582"/>
      <c r="E698" s="586"/>
      <c r="F698" s="582"/>
      <c r="G698" s="583" t="s">
        <v>1219</v>
      </c>
      <c r="H698" s="950">
        <f>AZ682</f>
        <v>0</v>
      </c>
      <c r="I698" s="950">
        <f>BA682</f>
        <v>55</v>
      </c>
      <c r="J698" s="950">
        <f>BB682</f>
        <v>0</v>
      </c>
      <c r="K698" s="950">
        <f>BC682</f>
        <v>0</v>
      </c>
      <c r="L698" s="950">
        <f>BD682</f>
        <v>5</v>
      </c>
      <c r="M698" s="950">
        <f>SUM(H698:L698)</f>
        <v>60</v>
      </c>
      <c r="N698" s="583"/>
      <c r="Q698" s="952">
        <f>ABS(M698-AF698)</f>
        <v>60</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2684</v>
      </c>
      <c r="D699" s="582"/>
      <c r="E699" s="586"/>
      <c r="F699" s="582"/>
      <c r="G699" s="583" t="s">
        <v>121</v>
      </c>
      <c r="H699" s="950">
        <f>AU682</f>
        <v>0</v>
      </c>
      <c r="I699" s="950">
        <f>AV682</f>
        <v>0</v>
      </c>
      <c r="J699" s="950">
        <f>AW682</f>
        <v>47</v>
      </c>
      <c r="K699" s="950">
        <f>AX682</f>
        <v>24</v>
      </c>
      <c r="L699" s="950">
        <f>AY682</f>
        <v>0</v>
      </c>
      <c r="M699" s="950">
        <f>SUM(H699:L699)</f>
        <v>71</v>
      </c>
      <c r="N699" s="583"/>
      <c r="Q699" s="952">
        <f>ABS(M699-AF699)</f>
        <v>71</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573</v>
      </c>
      <c r="H700" s="950">
        <f>SUM(H698:H699)</f>
        <v>0</v>
      </c>
      <c r="I700" s="950">
        <f>SUM(I698:I699)</f>
        <v>55</v>
      </c>
      <c r="J700" s="950">
        <f>SUM(J698:J699)</f>
        <v>47</v>
      </c>
      <c r="K700" s="950">
        <f>SUM(K698:K699)</f>
        <v>24</v>
      </c>
      <c r="L700" s="950">
        <f>SUM(L698:L699)</f>
        <v>5</v>
      </c>
      <c r="M700" s="950">
        <f>SUM(H700:L700)</f>
        <v>131</v>
      </c>
      <c r="N700" s="583"/>
      <c r="Q700" s="952">
        <f>ABS(M700-AF700)</f>
        <v>131</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946</v>
      </c>
      <c r="D702" s="582"/>
      <c r="E702" s="586"/>
      <c r="F702" s="582"/>
      <c r="G702" s="583" t="s">
        <v>1219</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2684</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573</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2445</v>
      </c>
      <c r="F706" s="582"/>
      <c r="G706" s="583" t="s">
        <v>1527</v>
      </c>
      <c r="H706" s="950">
        <f>DC682</f>
        <v>0</v>
      </c>
      <c r="I706" s="950">
        <f>DD682</f>
        <v>0</v>
      </c>
      <c r="J706" s="950">
        <f>DE682</f>
        <v>0</v>
      </c>
      <c r="K706" s="950">
        <f>DF682</f>
        <v>0</v>
      </c>
      <c r="L706" s="950">
        <f>DG682</f>
        <v>0</v>
      </c>
      <c r="M706" s="950">
        <f t="shared" ref="M706:M716" si="212">SUM(H706:L706)</f>
        <v>0</v>
      </c>
      <c r="Q706" s="952">
        <f t="shared" ref="Q706:Q714" si="213">ABS(M706-AF706)</f>
        <v>0</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320</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0</v>
      </c>
      <c r="J708" s="950">
        <f>SUM(J706:J707)+DO682</f>
        <v>0</v>
      </c>
      <c r="K708" s="950">
        <f>SUM(K706:K707)+DP682</f>
        <v>0</v>
      </c>
      <c r="L708" s="950">
        <f>SUM(L706:L707)+DQ682</f>
        <v>0</v>
      </c>
      <c r="M708" s="950">
        <f t="shared" si="212"/>
        <v>0</v>
      </c>
      <c r="N708" s="583"/>
      <c r="Q708" s="952">
        <f t="shared" si="213"/>
        <v>0</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2276</v>
      </c>
      <c r="F709" s="582"/>
      <c r="G709" s="583" t="s">
        <v>1527</v>
      </c>
      <c r="H709" s="950">
        <f>DR682</f>
        <v>0</v>
      </c>
      <c r="I709" s="950">
        <f>DS682</f>
        <v>55</v>
      </c>
      <c r="J709" s="950">
        <f>DT682</f>
        <v>48</v>
      </c>
      <c r="K709" s="950">
        <f>DU682</f>
        <v>24</v>
      </c>
      <c r="L709" s="950">
        <f>DV682</f>
        <v>5</v>
      </c>
      <c r="M709" s="950">
        <f t="shared" si="212"/>
        <v>132</v>
      </c>
      <c r="Q709" s="952">
        <f t="shared" si="213"/>
        <v>132</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320</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55</v>
      </c>
      <c r="J711" s="950">
        <f>SUM(J709:J710)+ED682</f>
        <v>48</v>
      </c>
      <c r="K711" s="950">
        <f>SUM(K709:K710)+EE682</f>
        <v>24</v>
      </c>
      <c r="L711" s="950">
        <f>SUM(L709:L710)+EF682</f>
        <v>5</v>
      </c>
      <c r="M711" s="950">
        <f t="shared" si="212"/>
        <v>132</v>
      </c>
      <c r="N711" s="583"/>
      <c r="Q711" s="952">
        <f t="shared" si="213"/>
        <v>132</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1513</v>
      </c>
      <c r="F712" s="1697"/>
      <c r="G712" s="583" t="s">
        <v>1527</v>
      </c>
      <c r="H712" s="950">
        <f>EG682</f>
        <v>0</v>
      </c>
      <c r="I712" s="950">
        <f>EH682</f>
        <v>0</v>
      </c>
      <c r="J712" s="950">
        <f>EI682</f>
        <v>0</v>
      </c>
      <c r="K712" s="950">
        <f>EJ682</f>
        <v>0</v>
      </c>
      <c r="L712" s="950">
        <f>EK682</f>
        <v>0</v>
      </c>
      <c r="M712" s="950">
        <f t="shared" si="212"/>
        <v>0</v>
      </c>
      <c r="Q712" s="952">
        <f t="shared" si="213"/>
        <v>0</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320</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385</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386</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55</v>
      </c>
      <c r="J718" s="950">
        <f>SUM(J719:J722)</f>
        <v>48</v>
      </c>
      <c r="K718" s="950">
        <f>SUM(K719:K722)</f>
        <v>0</v>
      </c>
      <c r="L718" s="950">
        <f>SUM(L719:L722)</f>
        <v>0</v>
      </c>
      <c r="M718" s="950">
        <f t="shared" ref="M718:M726" si="214">SUM(H718:L718)</f>
        <v>103</v>
      </c>
      <c r="Q718" s="952">
        <f>ABS(M718-AF718)</f>
        <v>103</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2788</v>
      </c>
      <c r="H719" s="950">
        <f>FU682</f>
        <v>0</v>
      </c>
      <c r="I719" s="950">
        <f>FV682</f>
        <v>55</v>
      </c>
      <c r="J719" s="950">
        <f>FW682</f>
        <v>0</v>
      </c>
      <c r="K719" s="950">
        <f>FX682</f>
        <v>0</v>
      </c>
      <c r="L719" s="950">
        <f>FY682</f>
        <v>0</v>
      </c>
      <c r="M719" s="950">
        <f t="shared" si="214"/>
        <v>55</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2789</v>
      </c>
      <c r="H720" s="950">
        <f>FZ682</f>
        <v>0</v>
      </c>
      <c r="I720" s="950">
        <f>GA682</f>
        <v>0</v>
      </c>
      <c r="J720" s="950">
        <f>GB682</f>
        <v>48</v>
      </c>
      <c r="K720" s="950">
        <f>GC682</f>
        <v>0</v>
      </c>
      <c r="L720" s="950">
        <f>GD682</f>
        <v>0</v>
      </c>
      <c r="M720" s="950">
        <f t="shared" si="214"/>
        <v>48</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2791</v>
      </c>
      <c r="H721" s="950">
        <f>GE682</f>
        <v>0</v>
      </c>
      <c r="I721" s="950">
        <f>GF682</f>
        <v>0</v>
      </c>
      <c r="J721" s="950">
        <f>GG682</f>
        <v>0</v>
      </c>
      <c r="K721" s="950">
        <f>GH682</f>
        <v>0</v>
      </c>
      <c r="L721" s="950">
        <f>GI682</f>
        <v>0</v>
      </c>
      <c r="M721" s="950">
        <f t="shared" si="214"/>
        <v>0</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2790</v>
      </c>
      <c r="H722" s="950">
        <f>GJ682</f>
        <v>0</v>
      </c>
      <c r="I722" s="950">
        <f>GK682</f>
        <v>0</v>
      </c>
      <c r="J722" s="950">
        <f>GL682</f>
        <v>0</v>
      </c>
      <c r="K722" s="950">
        <f>GM682</f>
        <v>0</v>
      </c>
      <c r="L722" s="950">
        <f>GN682</f>
        <v>0</v>
      </c>
      <c r="M722" s="950">
        <f t="shared" si="214"/>
        <v>0</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5</v>
      </c>
      <c r="M723" s="950">
        <f t="shared" si="214"/>
        <v>5</v>
      </c>
      <c r="N723" s="565"/>
      <c r="Q723" s="952">
        <f>ABS(M723-AF723)</f>
        <v>5</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24</v>
      </c>
      <c r="L724" s="950">
        <f>FT682</f>
        <v>0</v>
      </c>
      <c r="M724" s="950">
        <f t="shared" si="214"/>
        <v>24</v>
      </c>
      <c r="Q724" s="952">
        <f>ABS(M724-AF724)</f>
        <v>24</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599</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600</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2305</v>
      </c>
      <c r="C727" s="582"/>
      <c r="D727" s="582"/>
      <c r="E727" s="582"/>
      <c r="F727" s="582"/>
      <c r="G727" s="583"/>
      <c r="H727" s="582"/>
      <c r="I727" s="582"/>
      <c r="J727" s="582"/>
      <c r="K727" s="582"/>
      <c r="L727" s="582"/>
      <c r="M727" s="582"/>
      <c r="Q727" s="952"/>
      <c r="R727" s="952"/>
      <c r="S727" s="952"/>
      <c r="T727" s="845" t="str">
        <f>B727</f>
        <v>Unit Square Footage:</v>
      </c>
      <c r="U727" s="838" t="s">
        <v>1206</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2275</v>
      </c>
      <c r="D728" s="582"/>
      <c r="E728" s="582"/>
      <c r="F728" s="582"/>
      <c r="G728" s="583" t="s">
        <v>1219</v>
      </c>
      <c r="H728" s="584">
        <f>BY682</f>
        <v>0</v>
      </c>
      <c r="I728" s="584">
        <f>BZ682</f>
        <v>31350</v>
      </c>
      <c r="J728" s="584">
        <f>CA682</f>
        <v>857</v>
      </c>
      <c r="K728" s="584">
        <f>CB682</f>
        <v>0</v>
      </c>
      <c r="L728" s="584">
        <f>CC682</f>
        <v>5990</v>
      </c>
      <c r="M728" s="584">
        <f t="shared" ref="M728:M734" si="215">SUM(H728:L728)</f>
        <v>38197</v>
      </c>
      <c r="Q728" s="952">
        <f t="shared" ref="Q728:Q734" si="216">ABS(M728-AF728)</f>
        <v>38197</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0</v>
      </c>
      <c r="J729" s="584">
        <f>CF682</f>
        <v>40279</v>
      </c>
      <c r="K729" s="584">
        <f>CG682</f>
        <v>27720</v>
      </c>
      <c r="L729" s="584">
        <f>CH682</f>
        <v>0</v>
      </c>
      <c r="M729" s="584">
        <f t="shared" si="215"/>
        <v>67999</v>
      </c>
      <c r="N729" s="582"/>
      <c r="Q729" s="952">
        <f t="shared" si="216"/>
        <v>67999</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573</v>
      </c>
      <c r="H730" s="584">
        <f>SUM(H728:H729)</f>
        <v>0</v>
      </c>
      <c r="I730" s="584">
        <f>SUM(I728:I729)</f>
        <v>31350</v>
      </c>
      <c r="J730" s="584">
        <f>SUM(J728:J729)</f>
        <v>41136</v>
      </c>
      <c r="K730" s="584">
        <f>SUM(K728:K729)</f>
        <v>27720</v>
      </c>
      <c r="L730" s="584">
        <f>SUM(L728:L729)</f>
        <v>5990</v>
      </c>
      <c r="M730" s="584">
        <f t="shared" si="215"/>
        <v>106196</v>
      </c>
      <c r="N730" s="582"/>
      <c r="Q730" s="952">
        <f t="shared" si="216"/>
        <v>106196</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320</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1208</v>
      </c>
      <c r="D732" s="582"/>
      <c r="E732" s="582"/>
      <c r="F732" s="582"/>
      <c r="G732" s="582"/>
      <c r="H732" s="584">
        <f>SUM(H730:H731)</f>
        <v>0</v>
      </c>
      <c r="I732" s="584">
        <f>SUM(I730:I731)</f>
        <v>31350</v>
      </c>
      <c r="J732" s="584">
        <f>SUM(J730:J731)</f>
        <v>41136</v>
      </c>
      <c r="K732" s="584">
        <f>SUM(K730:K731)</f>
        <v>27720</v>
      </c>
      <c r="L732" s="584">
        <f>SUM(L730:L731)</f>
        <v>5990</v>
      </c>
      <c r="M732" s="584">
        <f t="shared" si="215"/>
        <v>106196</v>
      </c>
      <c r="Q732" s="952">
        <f t="shared" si="216"/>
        <v>106196</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573</v>
      </c>
      <c r="D734" s="582"/>
      <c r="E734" s="582"/>
      <c r="F734" s="582"/>
      <c r="G734" s="582"/>
      <c r="H734" s="584">
        <f>SUM(H732:H733)</f>
        <v>0</v>
      </c>
      <c r="I734" s="584">
        <f>SUM(I732:I733)</f>
        <v>31350</v>
      </c>
      <c r="J734" s="584">
        <f>SUM(J732:J733)</f>
        <v>41136</v>
      </c>
      <c r="K734" s="584">
        <f>SUM(K732:K733)</f>
        <v>27720</v>
      </c>
      <c r="L734" s="584">
        <f>SUM(L732:L733)</f>
        <v>5990</v>
      </c>
      <c r="M734" s="584">
        <f t="shared" si="215"/>
        <v>106196</v>
      </c>
      <c r="Q734" s="952">
        <f t="shared" si="216"/>
        <v>106196</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793</v>
      </c>
      <c r="B736" s="838" t="s">
        <v>3674</v>
      </c>
      <c r="Q736" s="582"/>
      <c r="R736" s="582"/>
      <c r="S736" s="582"/>
      <c r="T736" s="838" t="s">
        <v>1975</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1079</v>
      </c>
      <c r="D738" s="586"/>
      <c r="H738" s="1710">
        <f>'Part VI-Revenues &amp; Expenses'!H104</f>
        <v>16236.960000000001</v>
      </c>
      <c r="I738" s="1710"/>
      <c r="K738" s="954" t="s">
        <v>3675</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1542</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2435</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1080</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792</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985</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3676</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567</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792</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3677</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2807</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2435</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1080</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792</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985</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3676</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567</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792</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3677</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2808</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2435</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1080</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792</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985</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3676</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567</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792</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3677</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1917</v>
      </c>
      <c r="B772" s="935" t="s">
        <v>1082</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1975</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1377</v>
      </c>
      <c r="F774" s="579"/>
      <c r="G774" s="579"/>
      <c r="I774" s="585" t="s">
        <v>1465</v>
      </c>
      <c r="N774" s="585" t="s">
        <v>1464</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2337</v>
      </c>
      <c r="F775" s="1708">
        <f>'Part VI-Revenues &amp; Expenses'!F141</f>
        <v>66021</v>
      </c>
      <c r="G775" s="1708"/>
      <c r="I775" s="582" t="s">
        <v>1466</v>
      </c>
      <c r="K775" s="1708">
        <f>'Part VI-Revenues &amp; Expenses'!K141</f>
        <v>0</v>
      </c>
      <c r="L775" s="1708"/>
      <c r="N775" s="582" t="s">
        <v>986</v>
      </c>
      <c r="P775" s="964">
        <f>'Part VI-Revenues &amp; Expenses'!P141</f>
        <v>45000</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1455</v>
      </c>
      <c r="F776" s="1708">
        <f>'Part VI-Revenues &amp; Expenses'!F142</f>
        <v>39208</v>
      </c>
      <c r="G776" s="1708"/>
      <c r="I776" s="582" t="s">
        <v>1467</v>
      </c>
      <c r="K776" s="1708">
        <f>'Part VI-Revenues &amp; Expenses'!K142</f>
        <v>2500</v>
      </c>
      <c r="L776" s="1708"/>
      <c r="N776" s="582" t="s">
        <v>153</v>
      </c>
      <c r="P776" s="964">
        <f>'Part VI-Revenues &amp; Expenses'!P142</f>
        <v>29040</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1318</v>
      </c>
      <c r="F777" s="1708">
        <f>'Part VI-Revenues &amp; Expenses'!F143</f>
        <v>0</v>
      </c>
      <c r="G777" s="1708"/>
      <c r="J777" s="963" t="s">
        <v>200</v>
      </c>
      <c r="K777" s="1708">
        <f>SUM(K775:L776)</f>
        <v>2500</v>
      </c>
      <c r="L777" s="1708"/>
      <c r="N777" s="1711" t="str">
        <f>'Part VI-Revenues &amp; Expenses'!N143</f>
        <v>Other (describe here)</v>
      </c>
      <c r="O777" s="1711"/>
      <c r="P777" s="964">
        <f>'Part VI-Revenues &amp; Expenses'!P143</f>
        <v>687</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16" t="str">
        <f>'Part VI-Revenues &amp; Expenses'!B144</f>
        <v>Other (describe here)</v>
      </c>
      <c r="C778" s="1616"/>
      <c r="D778" s="1616"/>
      <c r="E778" s="1616"/>
      <c r="F778" s="1708">
        <f>'Part VI-Revenues &amp; Expenses'!F144</f>
        <v>26307</v>
      </c>
      <c r="G778" s="1708"/>
      <c r="N778" s="963" t="s">
        <v>200</v>
      </c>
      <c r="P778" s="964">
        <f>SUM(P775:P777)</f>
        <v>74727</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200</v>
      </c>
      <c r="F779" s="1708">
        <f>SUM(F775:G778)</f>
        <v>131536</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1378</v>
      </c>
      <c r="D781" s="966"/>
      <c r="I781" s="585" t="s">
        <v>1379</v>
      </c>
      <c r="N781" s="585" t="s">
        <v>1468</v>
      </c>
      <c r="P781" s="967">
        <f>IF(OR('Part VII-Pro Forma'!$B$20 = "Choose Mgt Fee",'Part VII-Pro Forma'!$B$20 = "Choose One!"), 0,- 'Part VII-Pro Forma'!$B$20)</f>
        <v>46207</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1460</v>
      </c>
      <c r="D782" s="966"/>
      <c r="F782" s="1708">
        <f>'Part VI-Revenues &amp; Expenses'!F148</f>
        <v>5964</v>
      </c>
      <c r="G782" s="1708"/>
      <c r="I782" s="582" t="s">
        <v>1712</v>
      </c>
      <c r="K782" s="1708">
        <f>'Part VI-Revenues &amp; Expenses'!K148</f>
        <v>2500</v>
      </c>
      <c r="L782" s="1708"/>
      <c r="N782" s="968">
        <f>+P781/(M696*0.93)</f>
        <v>376.40110785272071</v>
      </c>
      <c r="O782" s="969" t="s">
        <v>3139</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1461</v>
      </c>
      <c r="D783" s="966"/>
      <c r="F783" s="1708">
        <f>'Part VI-Revenues &amp; Expenses'!F149</f>
        <v>5184</v>
      </c>
      <c r="G783" s="1708"/>
      <c r="I783" s="582" t="s">
        <v>2188</v>
      </c>
      <c r="K783" s="1708">
        <f>'Part VI-Revenues &amp; Expenses'!K149</f>
        <v>10925</v>
      </c>
      <c r="L783" s="1708"/>
      <c r="N783" s="968">
        <f>+P781/(M696*0.93)/12</f>
        <v>31.366758987726726</v>
      </c>
      <c r="O783" s="969" t="s">
        <v>3141</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1462</v>
      </c>
      <c r="D784" s="966"/>
      <c r="F784" s="1708">
        <f>'Part VI-Revenues &amp; Expenses'!F150</f>
        <v>0</v>
      </c>
      <c r="G784" s="1708"/>
      <c r="I784" s="582" t="s">
        <v>1713</v>
      </c>
      <c r="K784" s="1708">
        <f>'Part VI-Revenues &amp; Expenses'!K150</f>
        <v>2000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2492</v>
      </c>
      <c r="D785" s="966"/>
      <c r="F785" s="1708">
        <f>'Part VI-Revenues &amp; Expenses'!F151</f>
        <v>0</v>
      </c>
      <c r="G785" s="1708"/>
      <c r="I785" s="1711" t="str">
        <f>'Part VI-Revenues &amp; Expenses'!I151</f>
        <v>Other (describe here)</v>
      </c>
      <c r="J785" s="1711"/>
      <c r="K785" s="1708">
        <f>'Part VI-Revenues &amp; Expenses'!K151</f>
        <v>0</v>
      </c>
      <c r="L785" s="1708"/>
      <c r="N785" s="1712" t="s">
        <v>2629</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1710</v>
      </c>
      <c r="D786" s="966"/>
      <c r="F786" s="1708">
        <f>'Part VI-Revenues &amp; Expenses'!F152</f>
        <v>18430</v>
      </c>
      <c r="G786" s="1708"/>
      <c r="I786" s="585"/>
      <c r="J786" s="963" t="s">
        <v>200</v>
      </c>
      <c r="K786" s="1713">
        <f>SUM(K782:K785)</f>
        <v>15425</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16" t="str">
        <f>'Part VI-Revenues &amp; Expenses'!B153</f>
        <v>Software Costs/Compliance</v>
      </c>
      <c r="C787" s="1616"/>
      <c r="D787" s="1616"/>
      <c r="E787" s="1616"/>
      <c r="F787" s="1708">
        <f>'Part VI-Revenues &amp; Expenses'!F153</f>
        <v>4000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200</v>
      </c>
      <c r="F788" s="1708">
        <f>SUM(F782:G787)</f>
        <v>33578</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1380</v>
      </c>
      <c r="D790" s="966"/>
      <c r="I790" s="585" t="s">
        <v>1463</v>
      </c>
      <c r="J790" s="844" t="s">
        <v>3138</v>
      </c>
      <c r="N790" s="585" t="s">
        <v>2327</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1714</v>
      </c>
      <c r="D791" s="966"/>
      <c r="F791" s="1708">
        <f>'Part VI-Revenues &amp; Expenses'!F157</f>
        <v>17500</v>
      </c>
      <c r="G791" s="1708"/>
      <c r="I791" s="582" t="s">
        <v>1456</v>
      </c>
      <c r="J791" s="850">
        <f>K791/12/M696</f>
        <v>0</v>
      </c>
      <c r="K791" s="1708">
        <f>'Part VI-Revenues &amp; Expenses'!K157</f>
        <v>0</v>
      </c>
      <c r="L791" s="1708"/>
      <c r="N791" s="968">
        <f>+P791/M696</f>
        <v>3299.037878787879</v>
      </c>
      <c r="O791" s="969" t="s">
        <v>3142</v>
      </c>
      <c r="P791" s="964">
        <f>F779+F788+F799+K777+K786+K796+P778+P781</f>
        <v>435473</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1715</v>
      </c>
      <c r="D792" s="966"/>
      <c r="F792" s="1708">
        <f>'Part VI-Revenues &amp; Expenses'!F158</f>
        <v>16500</v>
      </c>
      <c r="G792" s="1708"/>
      <c r="I792" s="582" t="s">
        <v>1457</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1716</v>
      </c>
      <c r="D793" s="966"/>
      <c r="F793" s="1708">
        <f>'Part VI-Revenues &amp; Expenses'!F159</f>
        <v>15000</v>
      </c>
      <c r="G793" s="1708"/>
      <c r="I793" s="582" t="s">
        <v>2506</v>
      </c>
      <c r="J793" s="850">
        <f>K793/12/M696</f>
        <v>34.722222222222221</v>
      </c>
      <c r="K793" s="1708">
        <f>'Part VI-Revenues &amp; Expenses'!K159</f>
        <v>55000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1064</v>
      </c>
      <c r="D794" s="966"/>
      <c r="F794" s="1708">
        <f>'Part VI-Revenues &amp; Expenses'!F160</f>
        <v>3500</v>
      </c>
      <c r="G794" s="1708"/>
      <c r="I794" s="582" t="s">
        <v>1459</v>
      </c>
      <c r="K794" s="1708">
        <f>'Part VI-Revenues &amp; Expenses'!K160</f>
        <v>7000</v>
      </c>
      <c r="L794" s="1708"/>
      <c r="N794" s="585" t="s">
        <v>1323</v>
      </c>
      <c r="O794" s="585"/>
      <c r="P794" s="967">
        <f>P795*M696</f>
        <v>46200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1065</v>
      </c>
      <c r="D795" s="966"/>
      <c r="F795" s="1708">
        <f>'Part VI-Revenues &amp; Expenses'!F161</f>
        <v>5000</v>
      </c>
      <c r="G795" s="1708"/>
      <c r="I795" s="1711" t="str">
        <f>'Part VI-Revenues &amp; Expenses'!I161</f>
        <v>Cable - Common area</v>
      </c>
      <c r="J795" s="1711"/>
      <c r="K795" s="1708">
        <f>'Part VI-Revenues &amp; Expenses'!K161</f>
        <v>2000</v>
      </c>
      <c r="L795" s="1708"/>
      <c r="N795" s="969" t="s">
        <v>490</v>
      </c>
      <c r="P795" s="967">
        <f>'Part VI-Revenues &amp; Expenses'!P161</f>
        <v>350</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1066</v>
      </c>
      <c r="D796" s="966"/>
      <c r="F796" s="1708">
        <f>'Part VI-Revenues &amp; Expenses'!F162</f>
        <v>0</v>
      </c>
      <c r="G796" s="1708"/>
      <c r="J796" s="963" t="s">
        <v>200</v>
      </c>
      <c r="K796" s="1713">
        <f>SUM(K791:K795)</f>
        <v>64000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923</v>
      </c>
      <c r="D797" s="966"/>
      <c r="F797" s="1708">
        <f>'Part VI-Revenues &amp; Expenses'!F163</f>
        <v>10000</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16" t="str">
        <f>'Part VI-Revenues &amp; Expenses'!B164</f>
        <v>Other (describe here)</v>
      </c>
      <c r="C798" s="1616"/>
      <c r="D798" s="1616"/>
      <c r="E798" s="1616"/>
      <c r="F798" s="1708">
        <f>'Part VI-Revenues &amp; Expenses'!F164</f>
        <v>0</v>
      </c>
      <c r="G798" s="1708"/>
      <c r="J798" s="965"/>
      <c r="N798" s="585" t="s">
        <v>2328</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200</v>
      </c>
      <c r="F799" s="1708">
        <f>SUM(F791:G798)</f>
        <v>67500</v>
      </c>
      <c r="G799" s="1708"/>
      <c r="J799" s="965"/>
      <c r="P799" s="964">
        <f>P791+P794</f>
        <v>481673</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1919</v>
      </c>
      <c r="B801" s="838" t="s">
        <v>609</v>
      </c>
      <c r="K801" s="838" t="s">
        <v>564</v>
      </c>
      <c r="L801" s="838" t="s">
        <v>1975</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*To all Applicants: Real estate taxes shown in Operating Budget should be prior to any tax abatement.  Please provide methodology for real estate tax calculation. 
**To all Applicants: Please provide methodology for insurance calculation.</v>
      </c>
      <c r="B802" s="1644"/>
      <c r="C802" s="1644"/>
      <c r="D802" s="1644"/>
      <c r="E802" s="1644"/>
      <c r="F802" s="1644"/>
      <c r="G802" s="1644"/>
      <c r="H802" s="1644"/>
      <c r="I802" s="1644"/>
      <c r="J802" s="1644"/>
      <c r="K802" s="1644">
        <f>'Part VI-Revenues &amp; Expenses'!K168</f>
        <v>0</v>
      </c>
      <c r="L802" s="1644"/>
      <c r="M802" s="1644"/>
      <c r="N802" s="1644"/>
      <c r="O802" s="1644"/>
      <c r="P802" s="1644"/>
      <c r="T802" s="1714" t="s">
        <v>2925</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2014-051 Macon Gardens,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3678</v>
      </c>
    </row>
    <row r="809" spans="1:221">
      <c r="A809" s="579" t="s">
        <v>2329</v>
      </c>
      <c r="B809" s="971">
        <v>0.02</v>
      </c>
      <c r="D809" s="579" t="s">
        <v>839</v>
      </c>
      <c r="G809" s="1109">
        <f>'Part VII-Pro Forma'!G5</f>
        <v>19800</v>
      </c>
      <c r="H809" s="972" t="s">
        <v>2042</v>
      </c>
      <c r="K809" s="973" t="str">
        <f>IF(($B$14+$B$15+$B$16+$B$17)=0,"",B832/($B$14+$B$15+$B$16+$B$17))</f>
        <v/>
      </c>
    </row>
    <row r="810" spans="1:221">
      <c r="A810" s="579" t="s">
        <v>2330</v>
      </c>
      <c r="B810" s="971">
        <v>0.03</v>
      </c>
    </row>
    <row r="811" spans="1:221">
      <c r="A811" s="579" t="s">
        <v>2332</v>
      </c>
      <c r="B811" s="971">
        <v>0.03</v>
      </c>
      <c r="D811" s="582" t="s">
        <v>285</v>
      </c>
      <c r="G811" s="974"/>
      <c r="H811" s="972" t="s">
        <v>2531</v>
      </c>
      <c r="K811" s="973" t="str">
        <f>IF(($B$14+$B$15+$B$16+$B$17)=0,"",-B824/($B$14+$B$15+$B$16+$B$17))</f>
        <v/>
      </c>
    </row>
    <row r="812" spans="1:221">
      <c r="A812" s="579" t="s">
        <v>2331</v>
      </c>
      <c r="B812" s="971">
        <f>'Part VII-Pro Forma'!B8</f>
        <v>7.0000000000000007E-2</v>
      </c>
      <c r="D812" s="582" t="s">
        <v>2678</v>
      </c>
      <c r="G812" s="1110" t="str">
        <f>'Part VII-Pro Forma'!G8</f>
        <v>Yes</v>
      </c>
      <c r="H812" s="975" t="s">
        <v>1541</v>
      </c>
      <c r="K812" s="1111">
        <f>'Part VII-Pro Forma'!K8</f>
        <v>46207</v>
      </c>
    </row>
    <row r="813" spans="1:221">
      <c r="A813" s="579" t="s">
        <v>1511</v>
      </c>
      <c r="B813" s="971">
        <v>0.02</v>
      </c>
      <c r="D813" s="582" t="s">
        <v>1840</v>
      </c>
      <c r="G813" s="1110" t="str">
        <f>'Part VII-Pro Forma'!G9</f>
        <v>No</v>
      </c>
      <c r="H813" s="975" t="s">
        <v>2511</v>
      </c>
      <c r="K813" s="1112">
        <f>'Part VII-Pro Forma'!K9</f>
        <v>0</v>
      </c>
    </row>
    <row r="815" spans="1:221">
      <c r="A815" s="838" t="s">
        <v>94</v>
      </c>
    </row>
    <row r="817" spans="1:11">
      <c r="A817" s="838" t="s">
        <v>2649</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2566</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1079</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2567</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656</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1181</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1279</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1280</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1700</v>
      </c>
      <c r="B827" s="961">
        <f>'Part VII-Pro Forma'!B23</f>
        <v>-228501</v>
      </c>
      <c r="C827" s="961">
        <f>'Part VII-Pro Forma'!C23</f>
        <v>-228501</v>
      </c>
      <c r="D827" s="961">
        <f>'Part VII-Pro Forma'!D23</f>
        <v>-228501</v>
      </c>
      <c r="E827" s="961">
        <f>'Part VII-Pro Forma'!E23</f>
        <v>-228501</v>
      </c>
      <c r="F827" s="961">
        <f>'Part VII-Pro Forma'!F23</f>
        <v>-228501</v>
      </c>
      <c r="G827" s="961">
        <f>'Part VII-Pro Forma'!G23</f>
        <v>-228501</v>
      </c>
      <c r="H827" s="961">
        <f>'Part VII-Pro Forma'!H23</f>
        <v>-228501</v>
      </c>
      <c r="I827" s="961">
        <f>'Part VII-Pro Forma'!I23</f>
        <v>-228501</v>
      </c>
      <c r="J827" s="961">
        <f>'Part VII-Pro Forma'!J23</f>
        <v>-228501</v>
      </c>
      <c r="K827" s="961">
        <f>'Part VII-Pro Forma'!K23</f>
        <v>-228501</v>
      </c>
    </row>
    <row r="828" spans="1:11">
      <c r="A828" s="579" t="s">
        <v>1701</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1702</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836</v>
      </c>
      <c r="B830" s="961">
        <f>'Part VII-Pro Forma'!B26</f>
        <v>-9649.1856133941019</v>
      </c>
      <c r="C830" s="961">
        <f>'Part VII-Pro Forma'!C26</f>
        <v>-9649.1856133941019</v>
      </c>
      <c r="D830" s="961">
        <f>'Part VII-Pro Forma'!D26</f>
        <v>-9649.1856133941019</v>
      </c>
      <c r="E830" s="961">
        <f>'Part VII-Pro Forma'!E26</f>
        <v>-9649.1856133941019</v>
      </c>
      <c r="F830" s="961">
        <f>'Part VII-Pro Forma'!F26</f>
        <v>-9649.1856133941019</v>
      </c>
      <c r="G830" s="961">
        <f>'Part VII-Pro Forma'!G26</f>
        <v>-9649.1856133941019</v>
      </c>
      <c r="H830" s="961">
        <f>'Part VII-Pro Forma'!H26</f>
        <v>-9649.1856133941019</v>
      </c>
      <c r="I830" s="961">
        <f>'Part VII-Pro Forma'!I26</f>
        <v>-9649.1856133941019</v>
      </c>
      <c r="J830" s="961">
        <f>'Part VII-Pro Forma'!J26</f>
        <v>-9649.1856133941019</v>
      </c>
      <c r="K830" s="961">
        <f>'Part VII-Pro Forma'!K26</f>
        <v>-9649.1856133941019</v>
      </c>
    </row>
    <row r="831" spans="1:11">
      <c r="A831" s="579" t="s">
        <v>815</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1235</v>
      </c>
      <c r="B832" s="961">
        <f>'Part VII-Pro Forma'!B28</f>
        <v>-19800</v>
      </c>
      <c r="C832" s="961">
        <f>'Part VII-Pro Forma'!C28</f>
        <v>-20394</v>
      </c>
      <c r="D832" s="961">
        <f>'Part VII-Pro Forma'!D28</f>
        <v>-21006</v>
      </c>
      <c r="E832" s="961">
        <f>'Part VII-Pro Forma'!E28</f>
        <v>-21636</v>
      </c>
      <c r="F832" s="961">
        <f>'Part VII-Pro Forma'!F28</f>
        <v>-22286</v>
      </c>
      <c r="G832" s="961">
        <f>'Part VII-Pro Forma'!G28</f>
        <v>-22954</v>
      </c>
      <c r="H832" s="961">
        <f>'Part VII-Pro Forma'!H28</f>
        <v>-23642</v>
      </c>
      <c r="I832" s="961">
        <f>'Part VII-Pro Forma'!I28</f>
        <v>-24352</v>
      </c>
      <c r="J832" s="961">
        <f>'Part VII-Pro Forma'!J28</f>
        <v>-25082</v>
      </c>
      <c r="K832" s="961">
        <f>'Part VII-Pro Forma'!K28</f>
        <v>-25834</v>
      </c>
    </row>
    <row r="833" spans="1:11">
      <c r="A833" s="579" t="s">
        <v>1281</v>
      </c>
      <c r="B833" s="961">
        <f>'Part VII-Pro Forma'!B29</f>
        <v>-30496</v>
      </c>
      <c r="C833" s="961">
        <f>'Part VII-Pro Forma'!C29</f>
        <v>-25483</v>
      </c>
      <c r="D833" s="961">
        <f>'Part VII-Pro Forma'!D29</f>
        <v>0</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1236</v>
      </c>
      <c r="B834" s="961">
        <f t="shared" ref="B834:K834" si="230">SUM(B826:B833)</f>
        <v>-288446.18561339413</v>
      </c>
      <c r="C834" s="961">
        <f t="shared" si="230"/>
        <v>-284027.18561339413</v>
      </c>
      <c r="D834" s="961">
        <f t="shared" si="230"/>
        <v>-259156.1856133941</v>
      </c>
      <c r="E834" s="961">
        <f t="shared" si="230"/>
        <v>-259786.1856133941</v>
      </c>
      <c r="F834" s="961">
        <f t="shared" si="230"/>
        <v>-260436.1856133941</v>
      </c>
      <c r="G834" s="961">
        <f t="shared" si="230"/>
        <v>-261104.1856133941</v>
      </c>
      <c r="H834" s="961">
        <f t="shared" si="230"/>
        <v>-261792.1856133941</v>
      </c>
      <c r="I834" s="961">
        <f t="shared" si="230"/>
        <v>-262502.18561339413</v>
      </c>
      <c r="J834" s="961">
        <f t="shared" si="230"/>
        <v>-263232.18561339413</v>
      </c>
      <c r="K834" s="961">
        <f t="shared" si="230"/>
        <v>-263984.18561339413</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837</v>
      </c>
      <c r="B838" s="976">
        <f t="shared" ref="B838:K838" si="234">IF(OR(B830=0,AND(B827=0,B828=0,B829=0,B830=0)),"",-B826/(B827+B828+B829+B830))</f>
        <v>0</v>
      </c>
      <c r="C838" s="976">
        <f t="shared" si="234"/>
        <v>0</v>
      </c>
      <c r="D838" s="976">
        <f t="shared" si="234"/>
        <v>0</v>
      </c>
      <c r="E838" s="976">
        <f t="shared" si="234"/>
        <v>0</v>
      </c>
      <c r="F838" s="976">
        <f t="shared" si="234"/>
        <v>0</v>
      </c>
      <c r="G838" s="976">
        <f t="shared" si="234"/>
        <v>0</v>
      </c>
      <c r="H838" s="976">
        <f t="shared" si="234"/>
        <v>0</v>
      </c>
      <c r="I838" s="976">
        <f t="shared" si="234"/>
        <v>0</v>
      </c>
      <c r="J838" s="976">
        <f t="shared" si="234"/>
        <v>0</v>
      </c>
      <c r="K838" s="976">
        <f t="shared" si="234"/>
        <v>0</v>
      </c>
    </row>
    <row r="839" spans="1:11">
      <c r="A839" s="579" t="s">
        <v>822</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2802</v>
      </c>
      <c r="B840" s="961">
        <f>'Part VII-Pro Forma'!B36</f>
        <v>3136998.0356674851</v>
      </c>
      <c r="C840" s="961">
        <f>'Part VII-Pro Forma'!C36</f>
        <v>3095590.5155165233</v>
      </c>
      <c r="D840" s="961">
        <f>'Part VII-Pro Forma'!D36</f>
        <v>3051629.0701279151</v>
      </c>
      <c r="E840" s="961">
        <f>'Part VII-Pro Forma'!E36</f>
        <v>3004956.1789813368</v>
      </c>
      <c r="F840" s="961">
        <f>'Part VII-Pro Forma'!F36</f>
        <v>2955404.6060354477</v>
      </c>
      <c r="G840" s="961">
        <f>'Part VII-Pro Forma'!G36</f>
        <v>2902796.8004958122</v>
      </c>
      <c r="H840" s="961">
        <f>'Part VII-Pro Forma'!H36</f>
        <v>2846944.2606234988</v>
      </c>
      <c r="I840" s="961">
        <f>'Part VII-Pro Forma'!I36</f>
        <v>2787646.8583047865</v>
      </c>
      <c r="J840" s="961">
        <f>'Part VII-Pro Forma'!J36</f>
        <v>2724692.1219618074</v>
      </c>
      <c r="K840" s="961">
        <f>'Part VII-Pro Forma'!K36</f>
        <v>2657854.4752346869</v>
      </c>
    </row>
    <row r="841" spans="1:11">
      <c r="A841" s="579" t="s">
        <v>2803</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2804</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838</v>
      </c>
      <c r="B843" s="961">
        <f>'Part VII-Pro Forma'!B39</f>
        <v>252511.49022179513</v>
      </c>
      <c r="C843" s="961">
        <f>'Part VII-Pro Forma'!C39</f>
        <v>245354.67664959672</v>
      </c>
      <c r="D843" s="961">
        <f>'Part VII-Pro Forma'!D39</f>
        <v>238125.96600817514</v>
      </c>
      <c r="E843" s="961">
        <f>'Part VII-Pro Forma'!E39</f>
        <v>230824.63602238509</v>
      </c>
      <c r="F843" s="961">
        <f>'Part VII-Pro Forma'!F39</f>
        <v>223449.95716113341</v>
      </c>
      <c r="G843" s="961">
        <f>'Part VII-Pro Forma'!G39</f>
        <v>216001.19256448609</v>
      </c>
      <c r="H843" s="961">
        <f>'Part VII-Pro Forma'!H39</f>
        <v>208477.59797004302</v>
      </c>
      <c r="I843" s="961">
        <f>'Part VII-Pro Forma'!I39</f>
        <v>200878.42163857317</v>
      </c>
      <c r="J843" s="961">
        <f>'Part VII-Pro Forma'!J39</f>
        <v>193202.9042789026</v>
      </c>
      <c r="K843" s="961">
        <f>'Part VII-Pro Forma'!K39</f>
        <v>185450.27897204788</v>
      </c>
    </row>
    <row r="844" spans="1:11">
      <c r="A844" s="579" t="s">
        <v>1316</v>
      </c>
      <c r="B844" s="961">
        <f>'Part VII-Pro Forma'!B40</f>
        <v>-25483</v>
      </c>
      <c r="C844" s="961">
        <f>'Part VII-Pro Forma'!C40</f>
        <v>0</v>
      </c>
      <c r="D844" s="961">
        <f>'Part VII-Pro Forma'!D40</f>
        <v>0</v>
      </c>
      <c r="E844" s="961">
        <f>'Part VII-Pro Forma'!E40</f>
        <v>0</v>
      </c>
      <c r="F844" s="961">
        <f>'Part VII-Pro Forma'!F40</f>
        <v>0</v>
      </c>
      <c r="G844" s="961">
        <f>'Part VII-Pro Forma'!G40</f>
        <v>0</v>
      </c>
      <c r="H844" s="961">
        <f>'Part VII-Pro Forma'!H40</f>
        <v>0</v>
      </c>
      <c r="I844" s="961">
        <f>'Part VII-Pro Forma'!I40</f>
        <v>0</v>
      </c>
      <c r="J844" s="961">
        <f>'Part VII-Pro Forma'!J40</f>
        <v>0</v>
      </c>
      <c r="K844" s="961">
        <f>'Part VII-Pro Forma'!K40</f>
        <v>0</v>
      </c>
    </row>
    <row r="845" spans="1:11">
      <c r="B845" s="961"/>
      <c r="C845" s="961"/>
      <c r="D845" s="961"/>
      <c r="E845" s="961"/>
      <c r="F845" s="961"/>
      <c r="G845" s="961"/>
      <c r="H845" s="961"/>
      <c r="I845" s="961"/>
      <c r="J845" s="961"/>
      <c r="K845" s="961"/>
    </row>
    <row r="846" spans="1:11">
      <c r="A846" s="838" t="s">
        <v>2649</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2566</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1079</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2567</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656</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1181</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1279</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1280</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-228501</v>
      </c>
      <c r="C856" s="961">
        <f>'Part VII-Pro Forma'!C52</f>
        <v>-228501</v>
      </c>
      <c r="D856" s="961">
        <f>'Part VII-Pro Forma'!D52</f>
        <v>-228501</v>
      </c>
      <c r="E856" s="961">
        <f>'Part VII-Pro Forma'!E52</f>
        <v>-228501</v>
      </c>
      <c r="F856" s="961">
        <f>'Part VII-Pro Forma'!F52</f>
        <v>-228501</v>
      </c>
      <c r="G856" s="961">
        <f>'Part VII-Pro Forma'!G52</f>
        <v>-228501</v>
      </c>
      <c r="H856" s="961">
        <f>'Part VII-Pro Forma'!H52</f>
        <v>-228501</v>
      </c>
      <c r="I856" s="961">
        <f>'Part VII-Pro Forma'!I52</f>
        <v>-228501</v>
      </c>
      <c r="J856" s="961">
        <f>'Part VII-Pro Forma'!J52</f>
        <v>-228501</v>
      </c>
      <c r="K856" s="961">
        <f>'Part VII-Pro Forma'!K52</f>
        <v>-228501</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-9649.1856133941019</v>
      </c>
      <c r="C859" s="961">
        <f>'Part VII-Pro Forma'!C55</f>
        <v>-9649.1856133941019</v>
      </c>
      <c r="D859" s="961">
        <f>'Part VII-Pro Forma'!D55</f>
        <v>-9649.1856133941019</v>
      </c>
      <c r="E859" s="961">
        <f>'Part VII-Pro Forma'!E55</f>
        <v>-9649.1856133941019</v>
      </c>
      <c r="F859" s="961">
        <f>'Part VII-Pro Forma'!F55</f>
        <v>-9649.1856133941019</v>
      </c>
      <c r="G859" s="961">
        <f>'Part VII-Pro Forma'!G55</f>
        <v>-9649.1856133941019</v>
      </c>
      <c r="H859" s="961">
        <f>'Part VII-Pro Forma'!H55</f>
        <v>-9649.1856133941019</v>
      </c>
      <c r="I859" s="961">
        <f>'Part VII-Pro Forma'!I55</f>
        <v>-9649.1856133941019</v>
      </c>
      <c r="J859" s="961">
        <f>'Part VII-Pro Forma'!J55</f>
        <v>-9649.1856133941019</v>
      </c>
      <c r="K859" s="961">
        <f>'Part VII-Pro Forma'!K55</f>
        <v>-9649.1856133941019</v>
      </c>
    </row>
    <row r="860" spans="1:11">
      <c r="A860" s="579" t="s">
        <v>815</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1235</v>
      </c>
      <c r="B861" s="961">
        <f>'Part VII-Pro Forma'!B57</f>
        <v>-26610</v>
      </c>
      <c r="C861" s="961">
        <f>'Part VII-Pro Forma'!C57</f>
        <v>-27408</v>
      </c>
      <c r="D861" s="961">
        <f>'Part VII-Pro Forma'!D57</f>
        <v>-28230</v>
      </c>
      <c r="E861" s="961">
        <f>'Part VII-Pro Forma'!E57</f>
        <v>-29076</v>
      </c>
      <c r="F861" s="961">
        <f>'Part VII-Pro Forma'!F57</f>
        <v>-29950</v>
      </c>
      <c r="G861" s="961">
        <f>'Part VII-Pro Forma'!G57</f>
        <v>0</v>
      </c>
      <c r="H861" s="961">
        <f>'Part VII-Pro Forma'!H57</f>
        <v>0</v>
      </c>
      <c r="I861" s="961">
        <f>'Part VII-Pro Forma'!I57</f>
        <v>0</v>
      </c>
      <c r="J861" s="961">
        <f>'Part VII-Pro Forma'!J57</f>
        <v>0</v>
      </c>
      <c r="K861" s="961">
        <f>'Part VII-Pro Forma'!K57</f>
        <v>0</v>
      </c>
    </row>
    <row r="862" spans="1:11">
      <c r="A862" s="579" t="s">
        <v>1281</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1236</v>
      </c>
      <c r="B863" s="961">
        <f t="shared" ref="B863:K863" si="243">SUM(B855:B862)</f>
        <v>-264760.18561339413</v>
      </c>
      <c r="C863" s="961">
        <f t="shared" si="243"/>
        <v>-265558.18561339413</v>
      </c>
      <c r="D863" s="961">
        <f t="shared" si="243"/>
        <v>-266380.18561339413</v>
      </c>
      <c r="E863" s="961">
        <f t="shared" si="243"/>
        <v>-267226.18561339413</v>
      </c>
      <c r="F863" s="961">
        <f t="shared" si="243"/>
        <v>-268100.18561339413</v>
      </c>
      <c r="G863" s="961">
        <f t="shared" si="243"/>
        <v>-238150.1856133941</v>
      </c>
      <c r="H863" s="961">
        <f t="shared" si="243"/>
        <v>-238150.1856133941</v>
      </c>
      <c r="I863" s="961">
        <f t="shared" si="243"/>
        <v>-238150.1856133941</v>
      </c>
      <c r="J863" s="961">
        <f t="shared" si="243"/>
        <v>-238150.1856133941</v>
      </c>
      <c r="K863" s="961">
        <f t="shared" si="243"/>
        <v>-238150.1856133941</v>
      </c>
    </row>
    <row r="864" spans="1:11">
      <c r="A864" s="579" t="str">
        <f>$A835</f>
        <v>DCR Mortgage A</v>
      </c>
      <c r="B864" s="976">
        <f>IF(B856=0,"",-B855/B856)</f>
        <v>0</v>
      </c>
      <c r="C864" s="976">
        <f t="shared" ref="C864:K864" si="244">IF(C856=0,"",-C855/C856)</f>
        <v>0</v>
      </c>
      <c r="D864" s="976">
        <f t="shared" si="244"/>
        <v>0</v>
      </c>
      <c r="E864" s="976">
        <f t="shared" si="244"/>
        <v>0</v>
      </c>
      <c r="F864" s="976">
        <f t="shared" si="244"/>
        <v>0</v>
      </c>
      <c r="G864" s="976">
        <f t="shared" si="244"/>
        <v>0</v>
      </c>
      <c r="H864" s="976">
        <f t="shared" si="244"/>
        <v>0</v>
      </c>
      <c r="I864" s="976">
        <f t="shared" si="244"/>
        <v>0</v>
      </c>
      <c r="J864" s="976">
        <f t="shared" si="244"/>
        <v>0</v>
      </c>
      <c r="K864" s="976">
        <f t="shared" si="244"/>
        <v>0</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f>IF(OR(B859=0,AND(B856=0,B857=0,B858=0,B859=0)),"",-B855/(B856+B857+B858+B859))</f>
        <v>0</v>
      </c>
      <c r="C867" s="976">
        <f t="shared" ref="C867:K867" si="247">IF(OR(C859=0,AND(C856=0,C857=0,C858=0,C859=0)),"",-C855/(C856+C857+C858+C859))</f>
        <v>0</v>
      </c>
      <c r="D867" s="976">
        <f t="shared" si="247"/>
        <v>0</v>
      </c>
      <c r="E867" s="976">
        <f t="shared" si="247"/>
        <v>0</v>
      </c>
      <c r="F867" s="976">
        <f t="shared" si="247"/>
        <v>0</v>
      </c>
      <c r="G867" s="976">
        <f t="shared" si="247"/>
        <v>0</v>
      </c>
      <c r="H867" s="976">
        <f t="shared" si="247"/>
        <v>0</v>
      </c>
      <c r="I867" s="976">
        <f t="shared" si="247"/>
        <v>0</v>
      </c>
      <c r="J867" s="976">
        <f t="shared" si="247"/>
        <v>0</v>
      </c>
      <c r="K867" s="976">
        <f t="shared" si="247"/>
        <v>0</v>
      </c>
    </row>
    <row r="868" spans="1:11">
      <c r="A868" s="579" t="s">
        <v>822</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2802</v>
      </c>
      <c r="B869" s="961">
        <f>'Part VII-Pro Forma'!B65</f>
        <v>2586894.4287072653</v>
      </c>
      <c r="C869" s="961">
        <f>'Part VII-Pro Forma'!C65</f>
        <v>2511557.7217802294</v>
      </c>
      <c r="D869" s="961">
        <f>'Part VII-Pro Forma'!D65</f>
        <v>2431574.4116168572</v>
      </c>
      <c r="E869" s="961">
        <f>'Part VII-Pro Forma'!E65</f>
        <v>2346657.9058969286</v>
      </c>
      <c r="F869" s="961">
        <f>'Part VII-Pro Forma'!F65</f>
        <v>2256503.9359130156</v>
      </c>
      <c r="G869" s="961">
        <f>'Part VII-Pro Forma'!G65</f>
        <v>2160789.4663295974</v>
      </c>
      <c r="H869" s="961">
        <f>'Part VII-Pro Forma'!H65</f>
        <v>2059171.5376985031</v>
      </c>
      <c r="I869" s="961">
        <f>'Part VII-Pro Forma'!I65</f>
        <v>1951286.0375832403</v>
      </c>
      <c r="J869" s="961">
        <f>'Part VII-Pro Forma'!J65</f>
        <v>1836746.3958889609</v>
      </c>
      <c r="K869" s="961">
        <f>'Part VII-Pro Forma'!K65</f>
        <v>1715142.1997232349</v>
      </c>
    </row>
    <row r="870" spans="1:11">
      <c r="A870" s="579" t="s">
        <v>2803</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2804</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838</v>
      </c>
      <c r="B872" s="961">
        <f>'Part VII-Pro Forma'!B68</f>
        <v>177619.77109458754</v>
      </c>
      <c r="C872" s="961">
        <f>'Part VII-Pro Forma'!C68</f>
        <v>169710.59824126348</v>
      </c>
      <c r="D872" s="961">
        <f>'Part VII-Pro Forma'!D68</f>
        <v>161721.97014680496</v>
      </c>
      <c r="E872" s="961">
        <f>'Part VII-Pro Forma'!E68</f>
        <v>153653.0886069673</v>
      </c>
      <c r="F872" s="961">
        <f>'Part VII-Pro Forma'!F68</f>
        <v>145503.14739877713</v>
      </c>
      <c r="G872" s="961">
        <f>'Part VII-Pro Forma'!G68</f>
        <v>137271.33219997666</v>
      </c>
      <c r="H872" s="961">
        <f>'Part VII-Pro Forma'!H68</f>
        <v>128956.82050765856</v>
      </c>
      <c r="I872" s="961">
        <f>'Part VII-Pro Forma'!I68</f>
        <v>120558.78155608338</v>
      </c>
      <c r="J872" s="961">
        <f>'Part VII-Pro Forma'!J68</f>
        <v>112076.37623367168</v>
      </c>
      <c r="K872" s="961">
        <f>'Part VII-Pro Forma'!K68</f>
        <v>103508.75699916182</v>
      </c>
    </row>
    <row r="873" spans="1:11">
      <c r="A873" s="579" t="s">
        <v>1316</v>
      </c>
      <c r="B873" s="961">
        <f>'Part VII-Pro Forma'!B69</f>
        <v>0</v>
      </c>
      <c r="C873" s="961">
        <f>'Part VII-Pro Forma'!C69</f>
        <v>0</v>
      </c>
      <c r="D873" s="961">
        <f>'Part VII-Pro Forma'!D69</f>
        <v>0</v>
      </c>
      <c r="E873" s="961">
        <f>'Part VII-Pro Forma'!E69</f>
        <v>0</v>
      </c>
      <c r="F873" s="961">
        <f>'Part VII-Pro Forma'!F69</f>
        <v>0</v>
      </c>
      <c r="G873" s="961">
        <f>'Part VII-Pro Forma'!G69</f>
        <v>0</v>
      </c>
      <c r="H873" s="961">
        <f>'Part VII-Pro Forma'!H69</f>
        <v>0</v>
      </c>
      <c r="I873" s="961">
        <f>'Part VII-Pro Forma'!I69</f>
        <v>0</v>
      </c>
      <c r="J873" s="961">
        <f>'Part VII-Pro Forma'!J69</f>
        <v>0</v>
      </c>
      <c r="K873" s="961">
        <f>'Part VII-Pro Forma'!K69</f>
        <v>0</v>
      </c>
    </row>
    <row r="874" spans="1:11">
      <c r="B874" s="961"/>
      <c r="C874" s="961"/>
      <c r="D874" s="961"/>
      <c r="E874" s="961"/>
      <c r="F874" s="961"/>
      <c r="G874" s="961"/>
      <c r="H874" s="961"/>
      <c r="I874" s="961"/>
      <c r="J874" s="961"/>
      <c r="K874" s="961"/>
    </row>
    <row r="875" spans="1:11">
      <c r="A875" s="838" t="s">
        <v>2649</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2566</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1079</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2567</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656</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1181</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1279</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1280</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-228501</v>
      </c>
      <c r="C885" s="961">
        <f>'Part VII-Pro Forma'!C81</f>
        <v>-228501</v>
      </c>
      <c r="D885" s="961">
        <f>'Part VII-Pro Forma'!D81</f>
        <v>-228501</v>
      </c>
      <c r="E885" s="961">
        <f>'Part VII-Pro Forma'!E81</f>
        <v>-228501</v>
      </c>
      <c r="F885" s="961">
        <f>'Part VII-Pro Forma'!F81</f>
        <v>-228501</v>
      </c>
      <c r="G885" s="961">
        <f>'Part VII-Pro Forma'!G81</f>
        <v>-228501</v>
      </c>
      <c r="H885" s="961">
        <f>'Part VII-Pro Forma'!H81</f>
        <v>-228501</v>
      </c>
      <c r="I885" s="961">
        <f>'Part VII-Pro Forma'!I81</f>
        <v>-228501</v>
      </c>
      <c r="J885" s="961">
        <f>'Part VII-Pro Forma'!J81</f>
        <v>-228501</v>
      </c>
      <c r="K885" s="961">
        <f>'Part VII-Pro Forma'!K81</f>
        <v>-228501</v>
      </c>
    </row>
    <row r="886" spans="1:11">
      <c r="A886" s="579" t="str">
        <f>$A857</f>
        <v>Mortgage B</v>
      </c>
      <c r="B886" s="961">
        <f>'Part VII-Pro Forma'!B82</f>
        <v>-2500</v>
      </c>
      <c r="C886" s="961">
        <f>'Part VII-Pro Forma'!C82</f>
        <v>-2500</v>
      </c>
      <c r="D886" s="961">
        <f>'Part VII-Pro Forma'!D82</f>
        <v>-2500</v>
      </c>
      <c r="E886" s="961">
        <f>'Part VII-Pro Forma'!E82</f>
        <v>-2500</v>
      </c>
      <c r="F886" s="961">
        <f>'Part VII-Pro Forma'!F82</f>
        <v>-2500</v>
      </c>
      <c r="G886" s="961">
        <f>'Part VII-Pro Forma'!G82</f>
        <v>-2500</v>
      </c>
      <c r="H886" s="961">
        <f>'Part VII-Pro Forma'!H82</f>
        <v>-2500</v>
      </c>
      <c r="I886" s="961">
        <f>'Part VII-Pro Forma'!I82</f>
        <v>-2500</v>
      </c>
      <c r="J886" s="961">
        <f>'Part VII-Pro Forma'!J82</f>
        <v>-2500</v>
      </c>
      <c r="K886" s="961">
        <f>'Part VII-Pro Forma'!K82</f>
        <v>-2500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-9649.1856133941019</v>
      </c>
      <c r="C888" s="961">
        <f>'Part VII-Pro Forma'!C84</f>
        <v>-9649.1856133941019</v>
      </c>
      <c r="D888" s="961">
        <f>'Part VII-Pro Forma'!D84</f>
        <v>-9649.1856133941019</v>
      </c>
      <c r="E888" s="961">
        <f>'Part VII-Pro Forma'!E84</f>
        <v>-9649.1856133941019</v>
      </c>
      <c r="F888" s="961">
        <f>'Part VII-Pro Forma'!F84</f>
        <v>-9649.1856133941019</v>
      </c>
      <c r="G888" s="961">
        <f>'Part VII-Pro Forma'!G84</f>
        <v>-9649.1856133941019</v>
      </c>
      <c r="H888" s="961">
        <f>'Part VII-Pro Forma'!H84</f>
        <v>-9649.1856133941019</v>
      </c>
      <c r="I888" s="961">
        <f>'Part VII-Pro Forma'!I84</f>
        <v>-9649.1856133941019</v>
      </c>
      <c r="J888" s="961">
        <f>'Part VII-Pro Forma'!J84</f>
        <v>-9649.1856133941019</v>
      </c>
      <c r="K888" s="961">
        <f>'Part VII-Pro Forma'!K84</f>
        <v>-9649.1856133941019</v>
      </c>
    </row>
    <row r="889" spans="1:11">
      <c r="A889" s="579" t="s">
        <v>815</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1235</v>
      </c>
      <c r="B890" s="961">
        <f>'Part VII-Pro Forma'!B86</f>
        <v>0</v>
      </c>
      <c r="C890" s="961">
        <f>'Part VII-Pro Forma'!C86</f>
        <v>0</v>
      </c>
      <c r="D890" s="961">
        <f>'Part VII-Pro Forma'!D86</f>
        <v>0</v>
      </c>
      <c r="E890" s="961">
        <f>'Part VII-Pro Forma'!E86</f>
        <v>0</v>
      </c>
      <c r="F890" s="961">
        <f>'Part VII-Pro Forma'!F86</f>
        <v>0</v>
      </c>
      <c r="G890" s="961">
        <f>'Part VII-Pro Forma'!G86</f>
        <v>0</v>
      </c>
      <c r="H890" s="961">
        <f>'Part VII-Pro Forma'!H86</f>
        <v>0</v>
      </c>
      <c r="I890" s="961">
        <f>'Part VII-Pro Forma'!I86</f>
        <v>0</v>
      </c>
      <c r="J890" s="961">
        <f>'Part VII-Pro Forma'!J86</f>
        <v>0</v>
      </c>
      <c r="K890" s="961">
        <f>'Part VII-Pro Forma'!K86</f>
        <v>0</v>
      </c>
    </row>
    <row r="891" spans="1:11">
      <c r="A891" s="579" t="s">
        <v>1281</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1236</v>
      </c>
      <c r="B892" s="961">
        <f t="shared" ref="B892:K892" si="256">SUM(B884:B891)</f>
        <v>-240650.1856133941</v>
      </c>
      <c r="C892" s="961">
        <f t="shared" si="256"/>
        <v>-240650.1856133941</v>
      </c>
      <c r="D892" s="961">
        <f t="shared" si="256"/>
        <v>-240650.1856133941</v>
      </c>
      <c r="E892" s="961">
        <f t="shared" si="256"/>
        <v>-240650.1856133941</v>
      </c>
      <c r="F892" s="961">
        <f t="shared" si="256"/>
        <v>-240650.1856133941</v>
      </c>
      <c r="G892" s="961">
        <f t="shared" si="256"/>
        <v>-240650.1856133941</v>
      </c>
      <c r="H892" s="961">
        <f t="shared" si="256"/>
        <v>-240650.1856133941</v>
      </c>
      <c r="I892" s="961">
        <f t="shared" si="256"/>
        <v>-240650.1856133941</v>
      </c>
      <c r="J892" s="961">
        <f t="shared" si="256"/>
        <v>-240650.1856133941</v>
      </c>
      <c r="K892" s="961">
        <f t="shared" si="256"/>
        <v>-240650.1856133941</v>
      </c>
    </row>
    <row r="893" spans="1:11">
      <c r="A893" s="579" t="str">
        <f>$A864</f>
        <v>DCR Mortgage A</v>
      </c>
      <c r="B893" s="976">
        <f>IF(B885=0,"",-B884/B885)</f>
        <v>0</v>
      </c>
      <c r="C893" s="976">
        <f t="shared" ref="C893:K893" si="257">IF(C885=0,"",-C884/C885)</f>
        <v>0</v>
      </c>
      <c r="D893" s="976">
        <f t="shared" si="257"/>
        <v>0</v>
      </c>
      <c r="E893" s="976">
        <f t="shared" si="257"/>
        <v>0</v>
      </c>
      <c r="F893" s="976">
        <f t="shared" si="257"/>
        <v>0</v>
      </c>
      <c r="G893" s="976">
        <f t="shared" si="257"/>
        <v>0</v>
      </c>
      <c r="H893" s="976">
        <f t="shared" si="257"/>
        <v>0</v>
      </c>
      <c r="I893" s="976">
        <f t="shared" si="257"/>
        <v>0</v>
      </c>
      <c r="J893" s="976">
        <f t="shared" si="257"/>
        <v>0</v>
      </c>
      <c r="K893" s="976">
        <f t="shared" si="257"/>
        <v>0</v>
      </c>
    </row>
    <row r="894" spans="1:11">
      <c r="A894" s="579" t="str">
        <f>$A865</f>
        <v>DCR Mortgage B</v>
      </c>
      <c r="B894" s="976">
        <f>IF(OR(B886=0,AND(B886=0,B885=0)),"",-B884/(B885+B886))</f>
        <v>0</v>
      </c>
      <c r="C894" s="976">
        <f t="shared" ref="C894:K894" si="258">IF(OR(C886=0,AND(C886=0,C885=0)),"",-C884/(C885+C886))</f>
        <v>0</v>
      </c>
      <c r="D894" s="976">
        <f t="shared" si="258"/>
        <v>0</v>
      </c>
      <c r="E894" s="976">
        <f t="shared" si="258"/>
        <v>0</v>
      </c>
      <c r="F894" s="976">
        <f t="shared" si="258"/>
        <v>0</v>
      </c>
      <c r="G894" s="976">
        <f t="shared" si="258"/>
        <v>0</v>
      </c>
      <c r="H894" s="976">
        <f t="shared" si="258"/>
        <v>0</v>
      </c>
      <c r="I894" s="976">
        <f t="shared" si="258"/>
        <v>0</v>
      </c>
      <c r="J894" s="976">
        <f t="shared" si="258"/>
        <v>0</v>
      </c>
      <c r="K894" s="976">
        <f t="shared" si="258"/>
        <v>0</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f>IF(OR(B888=0,AND(B885=0,B886=0,B887=0,B888=0)),"",-B884/(B885+B886+B887+B888))</f>
        <v>0</v>
      </c>
      <c r="C896" s="976">
        <f t="shared" ref="C896:K896" si="260">IF(OR(C888=0,AND(C885=0,C886=0,C887=0,C888=0)),"",-C884/(C885+C886+C887+C888))</f>
        <v>0</v>
      </c>
      <c r="D896" s="976">
        <f t="shared" si="260"/>
        <v>0</v>
      </c>
      <c r="E896" s="976">
        <f t="shared" si="260"/>
        <v>0</v>
      </c>
      <c r="F896" s="976">
        <f t="shared" si="260"/>
        <v>0</v>
      </c>
      <c r="G896" s="976">
        <f t="shared" si="260"/>
        <v>0</v>
      </c>
      <c r="H896" s="976">
        <f t="shared" si="260"/>
        <v>0</v>
      </c>
      <c r="I896" s="976">
        <f t="shared" si="260"/>
        <v>0</v>
      </c>
      <c r="J896" s="976">
        <f t="shared" si="260"/>
        <v>0</v>
      </c>
      <c r="K896" s="976">
        <f t="shared" si="260"/>
        <v>0</v>
      </c>
    </row>
    <row r="897" spans="1:17">
      <c r="A897" s="579" t="s">
        <v>822</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2802</v>
      </c>
      <c r="B898" s="961">
        <f>'Part VII-Pro Forma'!B94</f>
        <v>1586037.7228244655</v>
      </c>
      <c r="C898" s="961">
        <f>'Part VII-Pro Forma'!C94</f>
        <v>1448970.3642886695</v>
      </c>
      <c r="D898" s="961">
        <f>'Part VII-Pro Forma'!D94</f>
        <v>1303448.9910003392</v>
      </c>
      <c r="E898" s="961">
        <f>'Part VII-Pro Forma'!E94</f>
        <v>1148952.1778280677</v>
      </c>
      <c r="F898" s="961">
        <f>'Part VII-Pro Forma'!F94</f>
        <v>984926.33927929262</v>
      </c>
      <c r="G898" s="961">
        <f>'Part VII-Pro Forma'!G94</f>
        <v>810783.74591958965</v>
      </c>
      <c r="H898" s="961">
        <f>'Part VII-Pro Forma'!H94</f>
        <v>625900.41844905121</v>
      </c>
      <c r="I898" s="961">
        <f>'Part VII-Pro Forma'!I94</f>
        <v>429613.89188990259</v>
      </c>
      <c r="J898" s="961">
        <f>'Part VII-Pro Forma'!J94</f>
        <v>221220.84187410312</v>
      </c>
      <c r="K898" s="961">
        <f>'Part VII-Pro Forma'!K94</f>
        <v>-25.435474439640529</v>
      </c>
    </row>
    <row r="899" spans="1:17">
      <c r="A899" s="579" t="s">
        <v>2803</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2804</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838</v>
      </c>
      <c r="B901" s="961">
        <f>'Part VII-Pro Forma'!B97</f>
        <v>94855.06779692581</v>
      </c>
      <c r="C901" s="961">
        <f>'Part VII-Pro Forma'!C97</f>
        <v>86114.443971434317</v>
      </c>
      <c r="D901" s="961">
        <f>'Part VII-Pro Forma'!D97</f>
        <v>77286.012180862395</v>
      </c>
      <c r="E901" s="961">
        <f>'Part VII-Pro Forma'!E97</f>
        <v>68368.890309827228</v>
      </c>
      <c r="F901" s="961">
        <f>'Part VII-Pro Forma'!F97</f>
        <v>59362.187381249423</v>
      </c>
      <c r="G901" s="961">
        <f>'Part VII-Pro Forma'!G97</f>
        <v>50265.003467328679</v>
      </c>
      <c r="H901" s="961">
        <f>'Part VII-Pro Forma'!H97</f>
        <v>41076.429599625197</v>
      </c>
      <c r="I901" s="961">
        <f>'Part VII-Pro Forma'!I97</f>
        <v>31795.547678237795</v>
      </c>
      <c r="J901" s="961">
        <f>'Part VII-Pro Forma'!J97</f>
        <v>22421.430380069593</v>
      </c>
      <c r="K901" s="961">
        <f>'Part VII-Pro Forma'!K97</f>
        <v>12953.141066172149</v>
      </c>
    </row>
    <row r="902" spans="1:17">
      <c r="A902" s="579" t="s">
        <v>1316</v>
      </c>
      <c r="B902" s="961">
        <f>'Part VII-Pro Forma'!B98</f>
        <v>0</v>
      </c>
      <c r="C902" s="961">
        <f>'Part VII-Pro Forma'!C98</f>
        <v>0</v>
      </c>
      <c r="D902" s="961">
        <f>'Part VII-Pro Forma'!D98</f>
        <v>0</v>
      </c>
      <c r="E902" s="961">
        <f>'Part VII-Pro Forma'!E98</f>
        <v>0</v>
      </c>
      <c r="F902" s="961">
        <f>'Part VII-Pro Forma'!F98</f>
        <v>0</v>
      </c>
      <c r="G902" s="961">
        <f>'Part VII-Pro Forma'!G98</f>
        <v>0</v>
      </c>
      <c r="H902" s="961">
        <f>'Part VII-Pro Forma'!H98</f>
        <v>0</v>
      </c>
      <c r="I902" s="961">
        <f>'Part VII-Pro Forma'!I98</f>
        <v>0</v>
      </c>
      <c r="J902" s="961">
        <f>'Part VII-Pro Forma'!J98</f>
        <v>0</v>
      </c>
      <c r="K902" s="961">
        <f>'Part VII-Pro Forma'!K98</f>
        <v>0</v>
      </c>
    </row>
    <row r="903" spans="1:17">
      <c r="B903" s="961"/>
      <c r="C903" s="961"/>
      <c r="D903" s="961"/>
      <c r="E903" s="961"/>
      <c r="F903" s="961"/>
      <c r="G903" s="961"/>
      <c r="H903" s="961"/>
      <c r="I903" s="961"/>
      <c r="J903" s="961"/>
      <c r="K903" s="961"/>
    </row>
    <row r="905" spans="1:17">
      <c r="A905" s="838" t="s">
        <v>608</v>
      </c>
      <c r="B905" s="838"/>
      <c r="G905" s="838" t="s">
        <v>1094</v>
      </c>
    </row>
    <row r="906" spans="1:17">
      <c r="B906" s="970"/>
    </row>
    <row r="907" spans="1:17" ht="13.5">
      <c r="A907" s="1644">
        <f>'Part VII-Pro Forma'!A103</f>
        <v>0</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2014-051 Macon Gardens,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992</v>
      </c>
      <c r="P912" s="1728"/>
      <c r="Q912" s="605" t="s">
        <v>1972</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601</v>
      </c>
      <c r="J915" s="940"/>
      <c r="K915" s="940"/>
      <c r="L915" s="940"/>
      <c r="M915" s="940"/>
      <c r="N915" s="940"/>
      <c r="P915" s="1730">
        <f>'Part VIII-Threshold Criteria'!P6</f>
        <v>0</v>
      </c>
      <c r="Q915" s="1730"/>
    </row>
    <row r="916" spans="1:17">
      <c r="A916" s="980" t="s">
        <v>291</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2850</v>
      </c>
      <c r="C938" s="983"/>
      <c r="D938" s="984"/>
      <c r="E938" s="984"/>
      <c r="F938" s="984"/>
      <c r="G938" s="984"/>
      <c r="I938" s="985"/>
      <c r="J938" s="985"/>
      <c r="K938" s="985"/>
      <c r="L938" s="940"/>
      <c r="M938" s="940"/>
      <c r="O938" s="986" t="s">
        <v>1998</v>
      </c>
      <c r="P938" s="1591">
        <f>'Part VIII-Threshold Criteria'!P29</f>
        <v>0</v>
      </c>
      <c r="Q938" s="1591"/>
    </row>
    <row r="940" spans="1:17">
      <c r="B940" s="987" t="s">
        <v>2119</v>
      </c>
      <c r="C940" s="583" t="s">
        <v>3520</v>
      </c>
      <c r="E940" s="988"/>
      <c r="F940" s="988"/>
      <c r="G940" s="988"/>
      <c r="H940" s="988"/>
      <c r="I940" s="582"/>
      <c r="J940" s="582"/>
      <c r="K940" s="582"/>
      <c r="L940" s="582"/>
      <c r="M940" s="582"/>
      <c r="O940" s="989" t="s">
        <v>636</v>
      </c>
      <c r="P940" s="1010" t="str">
        <f>'Part VIII-Threshold Criteria'!P31</f>
        <v>No</v>
      </c>
      <c r="Q940" s="1010">
        <f>'Part VIII-Threshold Criteria'!Q31</f>
        <v>0</v>
      </c>
    </row>
    <row r="941" spans="1:17">
      <c r="B941" s="990" t="s">
        <v>2122</v>
      </c>
      <c r="C941" s="583" t="s">
        <v>767</v>
      </c>
      <c r="E941" s="988"/>
      <c r="F941" s="988"/>
      <c r="G941" s="988"/>
      <c r="H941" s="988"/>
      <c r="J941" s="1591" t="str">
        <f>'Part VIII-Threshold Criteria'!J32</f>
        <v>&lt;&lt; Select &gt;&gt;</v>
      </c>
      <c r="K941" s="1591"/>
      <c r="L941" s="1591"/>
      <c r="M941" s="1591"/>
      <c r="N941" s="1591"/>
      <c r="O941" s="989"/>
      <c r="P941" s="989"/>
      <c r="Q941" s="989"/>
    </row>
    <row r="942" spans="1:17">
      <c r="B942" s="991" t="s">
        <v>1996</v>
      </c>
      <c r="C942" s="991"/>
      <c r="D942" s="991"/>
      <c r="E942" s="991"/>
      <c r="F942" s="991"/>
      <c r="G942" s="985"/>
      <c r="H942" s="985"/>
      <c r="I942" s="985"/>
      <c r="J942" s="985"/>
      <c r="K942" s="940"/>
      <c r="L942" s="940"/>
      <c r="M942" s="940"/>
      <c r="N942" s="940"/>
      <c r="O942" s="940"/>
      <c r="P942" s="940"/>
    </row>
    <row r="943" spans="1:17">
      <c r="A943" s="1583">
        <f>'Part VIII-Threshold Criteria'!A34</f>
        <v>0</v>
      </c>
      <c r="B943" s="1583"/>
      <c r="C943" s="1583"/>
      <c r="D943" s="1583"/>
      <c r="E943" s="1583"/>
      <c r="F943" s="1583"/>
      <c r="G943" s="1583"/>
      <c r="H943" s="1583"/>
      <c r="I943" s="1583"/>
      <c r="J943" s="1583"/>
      <c r="K943" s="1583"/>
      <c r="L943" s="1583"/>
      <c r="M943" s="1583"/>
      <c r="N943" s="1583"/>
      <c r="O943" s="1583"/>
      <c r="P943" s="1583"/>
      <c r="Q943" s="1583"/>
    </row>
    <row r="944" spans="1:17">
      <c r="B944" s="992" t="s">
        <v>1997</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2955</v>
      </c>
      <c r="C950" s="585"/>
      <c r="D950" s="585"/>
      <c r="E950" s="994"/>
      <c r="F950" s="994"/>
      <c r="G950" s="994"/>
      <c r="H950" s="994"/>
      <c r="K950" s="994"/>
      <c r="L950" s="994"/>
      <c r="M950" s="994"/>
      <c r="O950" s="986" t="s">
        <v>1998</v>
      </c>
      <c r="P950" s="1591">
        <f>'Part VIII-Threshold Criteria'!P41</f>
        <v>0</v>
      </c>
      <c r="Q950" s="1591"/>
    </row>
    <row r="951" spans="1:17">
      <c r="K951" s="994"/>
      <c r="L951" s="994"/>
    </row>
    <row r="952" spans="1:17" ht="13.5">
      <c r="A952" s="1717" t="s">
        <v>3679</v>
      </c>
      <c r="B952" s="1717"/>
      <c r="C952" s="1717"/>
      <c r="D952" s="1717"/>
      <c r="E952" s="1717"/>
      <c r="F952" s="1715" t="s">
        <v>2962</v>
      </c>
      <c r="G952" s="1715"/>
      <c r="H952" s="1715"/>
      <c r="I952" s="1715"/>
      <c r="K952" s="1715" t="s">
        <v>2964</v>
      </c>
      <c r="L952" s="1715"/>
      <c r="M952" s="1715"/>
      <c r="N952" s="1715"/>
      <c r="P952" s="995" t="s">
        <v>3007</v>
      </c>
      <c r="Q952" s="1010" t="str">
        <f>'Part VIII-Threshold Criteria'!Q43</f>
        <v>Yes</v>
      </c>
    </row>
    <row r="953" spans="1:17">
      <c r="A953" s="1717"/>
      <c r="B953" s="1717"/>
      <c r="C953" s="1717"/>
      <c r="D953" s="1717"/>
      <c r="E953" s="1717"/>
      <c r="F953" s="1715" t="s">
        <v>2963</v>
      </c>
      <c r="G953" s="1715"/>
      <c r="H953" s="1715"/>
      <c r="I953" s="1715"/>
      <c r="K953" s="1715" t="s">
        <v>2965</v>
      </c>
      <c r="L953" s="1715"/>
      <c r="M953" s="1715"/>
      <c r="N953" s="1715"/>
    </row>
    <row r="954" spans="1:17">
      <c r="A954" s="1717"/>
      <c r="B954" s="1717"/>
      <c r="C954" s="1717"/>
      <c r="D954" s="1717"/>
      <c r="E954" s="1717"/>
      <c r="F954" s="1718" t="s">
        <v>2959</v>
      </c>
      <c r="G954" s="1718"/>
      <c r="H954" s="1718"/>
      <c r="I954" s="1718"/>
      <c r="K954" s="1715" t="s">
        <v>2961</v>
      </c>
      <c r="L954" s="1715"/>
      <c r="M954" s="1715"/>
      <c r="N954" s="1715"/>
      <c r="P954" s="1719" t="s">
        <v>3215</v>
      </c>
      <c r="Q954" s="1719"/>
    </row>
    <row r="955" spans="1:17">
      <c r="A955" s="1717"/>
      <c r="B955" s="1717"/>
      <c r="C955" s="1717"/>
      <c r="D955" s="1717"/>
      <c r="E955" s="1717"/>
      <c r="F955" s="1720" t="s">
        <v>2975</v>
      </c>
      <c r="G955" s="996"/>
      <c r="I955" s="1720" t="s">
        <v>2974</v>
      </c>
      <c r="K955" s="1720" t="s">
        <v>2975</v>
      </c>
      <c r="M955" s="994"/>
      <c r="N955" s="1720" t="s">
        <v>2974</v>
      </c>
      <c r="O955" s="994"/>
      <c r="P955" s="1719"/>
      <c r="Q955" s="1719"/>
    </row>
    <row r="956" spans="1:17">
      <c r="A956" s="997"/>
      <c r="D956" s="1113" t="s">
        <v>2958</v>
      </c>
      <c r="F956" s="1720"/>
      <c r="G956" s="1114" t="s">
        <v>2960</v>
      </c>
      <c r="I956" s="1720"/>
      <c r="K956" s="1720"/>
      <c r="L956" s="1114" t="s">
        <v>2960</v>
      </c>
      <c r="N956" s="1720"/>
      <c r="O956" s="994"/>
      <c r="P956" s="1726">
        <f>'Part VIII-Threshold Criteria'!P47</f>
        <v>20135370</v>
      </c>
      <c r="Q956" s="1726"/>
    </row>
    <row r="957" spans="1:17" ht="13.5">
      <c r="A957" s="997"/>
      <c r="D957" s="1115" t="s">
        <v>602</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3001</v>
      </c>
      <c r="Q957" s="1614"/>
    </row>
    <row r="958" spans="1:17" ht="13.5">
      <c r="A958" s="997"/>
      <c r="D958" s="1115" t="s">
        <v>2956</v>
      </c>
      <c r="F958" s="998">
        <f>'Part VIII-Threshold Criteria'!F49</f>
        <v>55</v>
      </c>
      <c r="G958" s="1116">
        <f>'DCA Underwriting Assumptions'!$K$12</f>
        <v>126647</v>
      </c>
      <c r="H958" s="999" t="str">
        <f>CONCATENATE("x ", F958," units = ")</f>
        <v xml:space="preserve">x 55 units = </v>
      </c>
      <c r="I958" s="1000">
        <f>F958*G958</f>
        <v>6965585</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2957</v>
      </c>
      <c r="F959" s="998">
        <f>'Part VIII-Threshold Criteria'!F50</f>
        <v>48</v>
      </c>
      <c r="G959" s="1116">
        <f>'DCA Underwriting Assumptions'!$L$12</f>
        <v>154003</v>
      </c>
      <c r="H959" s="999" t="str">
        <f>CONCATENATE("x ", F959," units = ")</f>
        <v xml:space="preserve">x 48 units = </v>
      </c>
      <c r="I959" s="1000">
        <f>F959*G959</f>
        <v>7392144</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2966</v>
      </c>
      <c r="F960" s="998">
        <f>'Part VIII-Threshold Criteria'!F51</f>
        <v>24</v>
      </c>
      <c r="G960" s="1116">
        <f>'DCA Underwriting Assumptions'!$M$12</f>
        <v>199229</v>
      </c>
      <c r="H960" s="999" t="str">
        <f>CONCATENATE("x ", F960," units = ")</f>
        <v xml:space="preserve">x 24 units = </v>
      </c>
      <c r="I960" s="1000">
        <f>F960*G960</f>
        <v>4781496</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2967</v>
      </c>
      <c r="F961" s="998">
        <f>'Part VIII-Threshold Criteria'!F52</f>
        <v>5</v>
      </c>
      <c r="G961" s="1116">
        <f>'DCA Underwriting Assumptions'!$N$12</f>
        <v>199229</v>
      </c>
      <c r="H961" s="999" t="str">
        <f>CONCATENATE("x ", F961," units = ")</f>
        <v xml:space="preserve">x 5 units = </v>
      </c>
      <c r="I961" s="1000">
        <f>F961*G961</f>
        <v>996145</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2968</v>
      </c>
      <c r="F962" s="1002">
        <f>SUM(F957:F961)</f>
        <v>132</v>
      </c>
      <c r="G962" s="1117"/>
      <c r="H962" s="998"/>
      <c r="I962" s="1000">
        <f>SUM(I957:I961)</f>
        <v>20135370</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1996</v>
      </c>
      <c r="D964" s="1003"/>
      <c r="E964" s="1003"/>
      <c r="F964" s="1003"/>
      <c r="G964" s="1003"/>
      <c r="H964" s="988"/>
      <c r="I964" s="985"/>
      <c r="J964" s="985"/>
      <c r="K964" s="992" t="s">
        <v>1997</v>
      </c>
      <c r="L964" s="940"/>
      <c r="M964" s="940"/>
      <c r="N964" s="940"/>
      <c r="O964" s="940"/>
      <c r="P964" s="940"/>
      <c r="Q964" s="940"/>
    </row>
    <row r="965" spans="1:17">
      <c r="A965" s="1583">
        <f>'Part VIII-Threshold Criteria'!A56</f>
        <v>0</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1263</v>
      </c>
      <c r="C967" s="585"/>
      <c r="D967" s="585"/>
      <c r="E967" s="994"/>
      <c r="F967" s="994"/>
      <c r="G967" s="994"/>
      <c r="H967" s="994"/>
      <c r="M967" s="994"/>
      <c r="O967" s="986" t="s">
        <v>1998</v>
      </c>
      <c r="P967" s="1591">
        <f>'Part VIII-Threshold Criteria'!P58</f>
        <v>0</v>
      </c>
      <c r="Q967" s="1591"/>
    </row>
    <row r="969" spans="1:17">
      <c r="A969" s="997"/>
      <c r="C969" s="996" t="s">
        <v>102</v>
      </c>
      <c r="D969" s="996"/>
      <c r="E969" s="996"/>
      <c r="F969" s="996"/>
      <c r="G969" s="996"/>
      <c r="H969" s="996"/>
      <c r="K969" s="1716" t="str">
        <f>'Part VIII-Threshold Criteria'!K60</f>
        <v>Family</v>
      </c>
      <c r="L969" s="1716"/>
      <c r="M969" s="1716"/>
      <c r="N969" s="994"/>
    </row>
    <row r="970" spans="1:17">
      <c r="B970" s="1003" t="s">
        <v>1996</v>
      </c>
      <c r="D970" s="1003"/>
      <c r="E970" s="1003"/>
      <c r="F970" s="1003"/>
      <c r="G970" s="1003"/>
      <c r="H970" s="988"/>
      <c r="I970" s="985"/>
      <c r="J970" s="985"/>
      <c r="K970" s="992" t="s">
        <v>1997</v>
      </c>
      <c r="L970" s="940"/>
      <c r="M970" s="940"/>
      <c r="N970" s="940"/>
      <c r="O970" s="940"/>
      <c r="P970" s="940"/>
      <c r="Q970" s="940"/>
    </row>
    <row r="971" spans="1:17">
      <c r="A971" s="1583" t="str">
        <f>'Part VIII-Threshold Criteria'!A62</f>
        <v>The property is intended for families at 50% and 60% AMI</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2851</v>
      </c>
      <c r="C973" s="1004"/>
      <c r="D973" s="994"/>
      <c r="E973" s="994"/>
      <c r="F973" s="994"/>
      <c r="G973" s="994"/>
      <c r="H973" s="994"/>
      <c r="I973" s="994"/>
      <c r="J973" s="994"/>
      <c r="K973" s="994"/>
      <c r="L973" s="994"/>
      <c r="M973" s="994"/>
      <c r="O973" s="986" t="s">
        <v>1998</v>
      </c>
      <c r="P973" s="1591">
        <f>'Part VIII-Threshold Criteria'!P64</f>
        <v>0</v>
      </c>
      <c r="Q973" s="1591"/>
    </row>
    <row r="975" spans="1:17">
      <c r="B975" s="987" t="s">
        <v>2119</v>
      </c>
      <c r="C975" s="1583" t="s">
        <v>3680</v>
      </c>
      <c r="D975" s="1583"/>
      <c r="E975" s="1583"/>
      <c r="F975" s="1583"/>
      <c r="G975" s="1583"/>
      <c r="H975" s="1583"/>
      <c r="I975" s="1583"/>
      <c r="J975" s="1583"/>
      <c r="K975" s="1583"/>
      <c r="L975" s="1583"/>
      <c r="M975" s="1583"/>
      <c r="O975" s="1005"/>
      <c r="P975" s="1010" t="str">
        <f>'Part VIII-Threshold Criteria'!P66</f>
        <v>Agree</v>
      </c>
    </row>
    <row r="976" spans="1:17">
      <c r="B976" s="990" t="s">
        <v>2122</v>
      </c>
      <c r="C976" s="988" t="s">
        <v>2976</v>
      </c>
      <c r="D976" s="988"/>
      <c r="E976" s="988"/>
      <c r="F976" s="988"/>
      <c r="G976" s="988"/>
      <c r="H976" s="988"/>
      <c r="I976" s="988"/>
      <c r="J976" s="988"/>
      <c r="K976" s="988"/>
      <c r="L976" s="988"/>
      <c r="M976" s="988"/>
      <c r="O976" s="988"/>
      <c r="P976" s="988"/>
      <c r="Q976" s="988"/>
    </row>
    <row r="977" spans="1:17">
      <c r="A977" s="1006"/>
      <c r="B977" s="582"/>
      <c r="C977" s="989" t="s">
        <v>1860</v>
      </c>
      <c r="D977" s="988" t="s">
        <v>612</v>
      </c>
      <c r="E977" s="951"/>
      <c r="F977" s="951"/>
      <c r="G977" s="951"/>
      <c r="H977" s="582"/>
      <c r="I977" s="582"/>
      <c r="J977" s="583" t="s">
        <v>2946</v>
      </c>
      <c r="K977" s="1618" t="str">
        <f>'Part VIII-Threshold Criteria'!K68</f>
        <v>Birthday parties, holiday parties, and annual cookouts</v>
      </c>
      <c r="L977" s="1618"/>
      <c r="M977" s="1618"/>
      <c r="N977" s="1618"/>
      <c r="O977" s="1618"/>
      <c r="P977" s="1618"/>
      <c r="Q977" s="988"/>
    </row>
    <row r="978" spans="1:17">
      <c r="A978" s="1006"/>
      <c r="B978" s="582"/>
      <c r="C978" s="989" t="s">
        <v>1861</v>
      </c>
      <c r="D978" s="988" t="s">
        <v>1936</v>
      </c>
      <c r="E978" s="951"/>
      <c r="F978" s="951"/>
      <c r="G978" s="951"/>
      <c r="H978" s="582"/>
      <c r="I978" s="582"/>
      <c r="J978" s="583" t="s">
        <v>2946</v>
      </c>
      <c r="K978" s="1618">
        <f>'Part VIII-Threshold Criteria'!K69</f>
        <v>0</v>
      </c>
      <c r="L978" s="1618"/>
      <c r="M978" s="1618"/>
      <c r="N978" s="1618"/>
      <c r="O978" s="1618"/>
      <c r="P978" s="1618"/>
      <c r="Q978" s="988"/>
    </row>
    <row r="979" spans="1:17">
      <c r="A979" s="1006"/>
      <c r="B979" s="582"/>
      <c r="C979" s="989" t="s">
        <v>1862</v>
      </c>
      <c r="D979" s="988" t="s">
        <v>324</v>
      </c>
      <c r="E979" s="951"/>
      <c r="J979" s="583" t="s">
        <v>2946</v>
      </c>
      <c r="K979" s="1618">
        <f>'Part VIII-Threshold Criteria'!K70</f>
        <v>0</v>
      </c>
      <c r="L979" s="1618"/>
      <c r="M979" s="1618"/>
      <c r="N979" s="1618"/>
      <c r="O979" s="1618"/>
      <c r="P979" s="1618"/>
      <c r="Q979" s="988"/>
    </row>
    <row r="980" spans="1:17">
      <c r="B980" s="1003" t="s">
        <v>1996</v>
      </c>
      <c r="D980" s="1003"/>
      <c r="E980" s="1003"/>
      <c r="F980" s="1003"/>
      <c r="G980" s="1003"/>
      <c r="H980" s="988"/>
      <c r="I980" s="985"/>
      <c r="J980" s="985"/>
      <c r="K980" s="985"/>
      <c r="L980" s="940"/>
      <c r="M980" s="940"/>
      <c r="N980" s="940"/>
      <c r="O980" s="940"/>
      <c r="P980" s="940"/>
      <c r="Q980" s="940"/>
    </row>
    <row r="981" spans="1:17">
      <c r="A981" s="1583" t="str">
        <f>'Part VIII-Threshold Criteria'!A72</f>
        <v>The Benoit Group, LLC will utilize their service oriented company called "Social Expressions" to provide basic ongoing services to residents at the property.</v>
      </c>
      <c r="B981" s="1583"/>
      <c r="C981" s="1583"/>
      <c r="D981" s="1583"/>
      <c r="E981" s="1583"/>
      <c r="F981" s="1583"/>
      <c r="G981" s="1583"/>
      <c r="H981" s="1583"/>
      <c r="I981" s="1583"/>
      <c r="J981" s="1583"/>
      <c r="K981" s="1583"/>
      <c r="L981" s="1583"/>
      <c r="M981" s="1583"/>
      <c r="N981" s="1583"/>
      <c r="O981" s="1583"/>
      <c r="P981" s="1583"/>
      <c r="Q981" s="1583"/>
    </row>
    <row r="982" spans="1:17">
      <c r="B982" s="992" t="s">
        <v>1997</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2852</v>
      </c>
      <c r="C985" s="935"/>
      <c r="D985" s="994"/>
      <c r="E985" s="994"/>
      <c r="F985" s="994"/>
      <c r="G985" s="994"/>
      <c r="H985" s="994"/>
      <c r="I985" s="994"/>
      <c r="J985" s="994"/>
      <c r="K985" s="994"/>
      <c r="O985" s="986" t="s">
        <v>1998</v>
      </c>
      <c r="P985" s="1591">
        <f>'Part VIII-Threshold Criteria'!P76</f>
        <v>0</v>
      </c>
      <c r="Q985" s="1591"/>
    </row>
    <row r="987" spans="1:17">
      <c r="B987" s="990" t="s">
        <v>2119</v>
      </c>
      <c r="C987" s="565" t="s">
        <v>2627</v>
      </c>
      <c r="D987" s="953"/>
      <c r="E987" s="953"/>
      <c r="F987" s="953"/>
      <c r="G987" s="953"/>
      <c r="H987" s="953"/>
      <c r="I987" s="582"/>
      <c r="J987" s="582"/>
      <c r="K987" s="582"/>
      <c r="L987" s="989" t="s">
        <v>2119</v>
      </c>
      <c r="M987" s="1618" t="str">
        <f>'Part VIII-Threshold Criteria'!M78</f>
        <v>Real Property Research Group, Inc.</v>
      </c>
      <c r="N987" s="1618"/>
      <c r="O987" s="1618"/>
      <c r="P987" s="1721"/>
      <c r="Q987" s="1010">
        <f>'Part VIII-Threshold Criteria'!Q78</f>
        <v>0</v>
      </c>
    </row>
    <row r="988" spans="1:17">
      <c r="B988" s="990" t="s">
        <v>2122</v>
      </c>
      <c r="C988" s="583" t="s">
        <v>2174</v>
      </c>
      <c r="D988" s="953"/>
      <c r="E988" s="953"/>
      <c r="F988" s="953"/>
      <c r="L988" s="989" t="s">
        <v>2122</v>
      </c>
      <c r="M988" s="1618" t="str">
        <f>'Part VIII-Threshold Criteria'!M79</f>
        <v>10 Months</v>
      </c>
      <c r="N988" s="1618"/>
      <c r="O988" s="1618"/>
      <c r="P988" s="1721"/>
      <c r="Q988" s="1010">
        <f>'Part VIII-Threshold Criteria'!Q79</f>
        <v>0</v>
      </c>
    </row>
    <row r="989" spans="1:17">
      <c r="B989" s="990" t="s">
        <v>800</v>
      </c>
      <c r="C989" s="583" t="s">
        <v>3521</v>
      </c>
      <c r="D989" s="953"/>
      <c r="E989" s="953"/>
      <c r="F989" s="953"/>
      <c r="L989" s="989" t="s">
        <v>800</v>
      </c>
      <c r="M989" s="1722">
        <f>'Part VIII-Threshold Criteria'!M80</f>
        <v>0.95</v>
      </c>
      <c r="N989" s="1722"/>
      <c r="O989" s="1722"/>
      <c r="P989" s="1723"/>
      <c r="Q989" s="1010">
        <f>'Part VIII-Threshold Criteria'!Q80</f>
        <v>0</v>
      </c>
    </row>
    <row r="990" spans="1:17">
      <c r="B990" s="990" t="s">
        <v>2254</v>
      </c>
      <c r="C990" s="583" t="s">
        <v>2628</v>
      </c>
      <c r="D990" s="953"/>
      <c r="E990" s="953"/>
      <c r="F990" s="953"/>
      <c r="L990" s="989" t="s">
        <v>2254</v>
      </c>
      <c r="M990" s="1722">
        <f>'Part VIII-Threshold Criteria'!M81</f>
        <v>9.1999999999999998E-2</v>
      </c>
      <c r="N990" s="1722"/>
      <c r="O990" s="1722"/>
      <c r="P990" s="1723"/>
      <c r="Q990" s="1010">
        <f>'Part VIII-Threshold Criteria'!Q81</f>
        <v>0</v>
      </c>
    </row>
    <row r="991" spans="1:17">
      <c r="B991" s="987" t="s">
        <v>1858</v>
      </c>
      <c r="C991" s="1583" t="s">
        <v>3522</v>
      </c>
      <c r="D991" s="1583"/>
      <c r="E991" s="1583"/>
      <c r="F991" s="1583"/>
      <c r="G991" s="1583"/>
      <c r="H991" s="1583"/>
      <c r="I991" s="1583"/>
      <c r="J991" s="1583"/>
      <c r="K991" s="1583"/>
      <c r="L991" s="1583"/>
      <c r="M991" s="1583"/>
      <c r="N991" s="1583"/>
      <c r="O991" s="1583"/>
      <c r="P991" s="1583"/>
      <c r="Q991" s="1583"/>
    </row>
    <row r="992" spans="1:17">
      <c r="B992" s="990"/>
      <c r="C992" s="583"/>
      <c r="D992" s="985" t="s">
        <v>2535</v>
      </c>
      <c r="E992" s="988" t="s">
        <v>659</v>
      </c>
      <c r="F992" s="988"/>
      <c r="H992" s="583"/>
      <c r="I992" s="985" t="s">
        <v>2535</v>
      </c>
      <c r="J992" s="988" t="s">
        <v>659</v>
      </c>
      <c r="K992" s="988"/>
      <c r="M992" s="583"/>
      <c r="N992" s="985" t="s">
        <v>2535</v>
      </c>
      <c r="O992" s="988" t="s">
        <v>659</v>
      </c>
      <c r="P992" s="988"/>
      <c r="Q992" s="989"/>
    </row>
    <row r="993" spans="1:17">
      <c r="B993" s="990"/>
      <c r="C993" s="583">
        <v>1</v>
      </c>
      <c r="D993" s="1010" t="str">
        <f>'Part VIII-Threshold Criteria'!D84</f>
        <v>2009-41</v>
      </c>
      <c r="E993" s="1618" t="str">
        <f>'Part VIII-Threshold Criteria'!E84</f>
        <v>Bartlett Crossing</v>
      </c>
      <c r="F993" s="1618"/>
      <c r="G993" s="1618"/>
      <c r="H993" s="583">
        <v>3</v>
      </c>
      <c r="I993" s="1010">
        <f>'Part VIII-Threshold Criteria'!I84</f>
        <v>0</v>
      </c>
      <c r="J993" s="1618">
        <f>'Part VIII-Threshold Criteria'!J84</f>
        <v>0</v>
      </c>
      <c r="K993" s="1618"/>
      <c r="L993" s="1618"/>
      <c r="M993" s="583">
        <v>5</v>
      </c>
      <c r="N993" s="1010">
        <f>'Part VIII-Threshold Criteria'!N84</f>
        <v>0</v>
      </c>
      <c r="O993" s="1618">
        <f>'Part VIII-Threshold Criteria'!O84</f>
        <v>0</v>
      </c>
      <c r="P993" s="1618"/>
      <c r="Q993" s="1618"/>
    </row>
    <row r="994" spans="1:17">
      <c r="B994" s="990"/>
      <c r="C994" s="583">
        <v>2</v>
      </c>
      <c r="D994" s="1010">
        <f>'Part VIII-Threshold Criteria'!D85</f>
        <v>0</v>
      </c>
      <c r="E994" s="1618">
        <f>'Part VIII-Threshold Criteria'!E85</f>
        <v>0</v>
      </c>
      <c r="F994" s="1618"/>
      <c r="G994" s="1618"/>
      <c r="H994" s="583">
        <v>4</v>
      </c>
      <c r="I994" s="1010">
        <f>'Part VIII-Threshold Criteria'!I85</f>
        <v>0</v>
      </c>
      <c r="J994" s="1618">
        <f>'Part VIII-Threshold Criteria'!J85</f>
        <v>0</v>
      </c>
      <c r="K994" s="1618"/>
      <c r="L994" s="1618"/>
      <c r="M994" s="583">
        <v>6</v>
      </c>
      <c r="N994" s="1010">
        <f>'Part VIII-Threshold Criteria'!N85</f>
        <v>0</v>
      </c>
      <c r="O994" s="1618">
        <f>'Part VIII-Threshold Criteria'!O85</f>
        <v>0</v>
      </c>
      <c r="P994" s="1618"/>
      <c r="Q994" s="1618"/>
    </row>
    <row r="995" spans="1:17">
      <c r="B995" s="990" t="s">
        <v>1859</v>
      </c>
      <c r="C995" s="583" t="s">
        <v>0</v>
      </c>
      <c r="D995" s="953"/>
      <c r="E995" s="953"/>
      <c r="F995" s="953"/>
      <c r="G995" s="953"/>
      <c r="H995" s="953"/>
      <c r="I995" s="582"/>
      <c r="J995" s="582"/>
      <c r="K995" s="953"/>
      <c r="L995" s="951"/>
      <c r="M995" s="951"/>
      <c r="O995" s="989" t="s">
        <v>1859</v>
      </c>
      <c r="P995" s="1010" t="str">
        <f>'Part VIII-Threshold Criteria'!P86</f>
        <v>Yes</v>
      </c>
      <c r="Q995" s="1010">
        <f>'Part VIII-Threshold Criteria'!Q86</f>
        <v>0</v>
      </c>
    </row>
    <row r="996" spans="1:17">
      <c r="B996" s="1003" t="s">
        <v>1996</v>
      </c>
      <c r="D996" s="1003"/>
      <c r="E996" s="1003"/>
      <c r="F996" s="1003"/>
      <c r="G996" s="1003"/>
      <c r="H996" s="988"/>
      <c r="I996" s="985"/>
      <c r="J996" s="985"/>
      <c r="K996" s="985"/>
      <c r="L996" s="940"/>
      <c r="M996" s="940"/>
      <c r="N996" s="940"/>
      <c r="O996" s="940"/>
      <c r="P996" s="940"/>
      <c r="Q996" s="940"/>
    </row>
    <row r="997" spans="1:17">
      <c r="A997" s="1583" t="str">
        <f>'Part VIII-Threshold Criteria'!A88</f>
        <v xml:space="preserve">According to Exhibit B to Appendix II of Georgia DCA 2014 Qualified Action Plan Previous Project, one tax credit deals has been awarded in the Macon Jurisdiction with the last five (5) funding cycles.  The Market Study is  located at Binder Tab 05 and Electronic Folder 05 0501012014-0xxMcnGdnsMS </v>
      </c>
      <c r="B997" s="1583"/>
      <c r="C997" s="1583"/>
      <c r="D997" s="1583"/>
      <c r="E997" s="1583"/>
      <c r="F997" s="1583"/>
      <c r="G997" s="1583"/>
      <c r="H997" s="1583"/>
      <c r="I997" s="1583"/>
      <c r="J997" s="1583"/>
      <c r="K997" s="1583"/>
      <c r="L997" s="1583"/>
      <c r="M997" s="1583"/>
      <c r="N997" s="1583"/>
      <c r="O997" s="1583"/>
      <c r="P997" s="1583"/>
      <c r="Q997" s="1583"/>
    </row>
    <row r="998" spans="1:17">
      <c r="B998" s="992" t="s">
        <v>1997</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2853</v>
      </c>
      <c r="C1000" s="935"/>
      <c r="D1000" s="994"/>
      <c r="E1000" s="994"/>
      <c r="F1000" s="994"/>
      <c r="G1000" s="994"/>
      <c r="H1000" s="994"/>
      <c r="I1000" s="994"/>
      <c r="J1000" s="994"/>
      <c r="K1000" s="994"/>
      <c r="L1000" s="994"/>
      <c r="M1000" s="994"/>
      <c r="O1000" s="986" t="s">
        <v>1998</v>
      </c>
      <c r="P1000" s="1591">
        <f>'Part VIII-Threshold Criteria'!P91</f>
        <v>0</v>
      </c>
      <c r="Q1000" s="1591"/>
    </row>
    <row r="1002" spans="1:17">
      <c r="B1002" s="990" t="s">
        <v>2119</v>
      </c>
      <c r="C1002" s="583" t="s">
        <v>526</v>
      </c>
      <c r="D1002" s="583"/>
      <c r="E1002" s="583"/>
      <c r="F1002" s="583"/>
      <c r="G1002" s="583"/>
      <c r="H1002" s="583"/>
      <c r="I1002" s="583"/>
      <c r="J1002" s="583"/>
      <c r="K1002" s="583"/>
      <c r="L1002" s="583"/>
      <c r="M1002" s="583"/>
      <c r="O1002" s="989" t="s">
        <v>2119</v>
      </c>
      <c r="P1002" s="1010" t="str">
        <f>'Part VIII-Threshold Criteria'!P93</f>
        <v>No</v>
      </c>
      <c r="Q1002" s="1010">
        <f>'Part VIII-Threshold Criteria'!Q93</f>
        <v>0</v>
      </c>
    </row>
    <row r="1003" spans="1:17">
      <c r="B1003" s="990" t="s">
        <v>2122</v>
      </c>
      <c r="C1003" s="583" t="s">
        <v>1391</v>
      </c>
      <c r="D1003" s="583"/>
      <c r="E1003" s="583"/>
      <c r="F1003" s="583"/>
      <c r="G1003" s="583"/>
      <c r="H1003" s="583"/>
      <c r="I1003" s="583"/>
      <c r="J1003" s="583"/>
      <c r="K1003" s="583"/>
      <c r="L1003" s="988"/>
      <c r="M1003" s="988"/>
      <c r="O1003" s="989" t="s">
        <v>2122</v>
      </c>
      <c r="P1003" s="1010" t="str">
        <f>'Part VIII-Threshold Criteria'!P94</f>
        <v>Yes</v>
      </c>
      <c r="Q1003" s="1010">
        <f>'Part VIII-Threshold Criteria'!Q94</f>
        <v>0</v>
      </c>
    </row>
    <row r="1004" spans="1:17">
      <c r="A1004" s="1007"/>
      <c r="B1004" s="583"/>
      <c r="D1004" s="583" t="s">
        <v>588</v>
      </c>
      <c r="E1004" s="582"/>
      <c r="F1004" s="582"/>
      <c r="G1004" s="582"/>
      <c r="H1004" s="582"/>
      <c r="I1004" s="582"/>
      <c r="L1004" s="989" t="s">
        <v>589</v>
      </c>
      <c r="M1004" s="1618" t="str">
        <f>'Part VIII-Threshold Criteria'!M95</f>
        <v>Everson, Huber and Associates, LLC</v>
      </c>
      <c r="N1004" s="1618"/>
      <c r="O1004" s="1618"/>
      <c r="P1004" s="1721"/>
      <c r="Q1004" s="1010">
        <f>'Part VIII-Threshold Criteria'!Q95</f>
        <v>0</v>
      </c>
    </row>
    <row r="1005" spans="1:17">
      <c r="A1005" s="1006"/>
      <c r="B1005" s="985"/>
      <c r="C1005" s="1008" t="s">
        <v>1860</v>
      </c>
      <c r="D1005" s="1580" t="s">
        <v>489</v>
      </c>
      <c r="E1005" s="1712"/>
      <c r="F1005" s="1712"/>
      <c r="G1005" s="1712"/>
      <c r="H1005" s="1712"/>
      <c r="I1005" s="1712"/>
      <c r="J1005" s="1712"/>
      <c r="K1005" s="1712"/>
      <c r="L1005" s="1712"/>
      <c r="M1005" s="1712"/>
      <c r="N1005" s="1712"/>
      <c r="O1005" s="1008" t="s">
        <v>1860</v>
      </c>
      <c r="P1005" s="1010" t="str">
        <f>'Part VIII-Threshold Criteria'!P96</f>
        <v>Yes</v>
      </c>
      <c r="Q1005" s="1010">
        <f>'Part VIII-Threshold Criteria'!Q96</f>
        <v>0</v>
      </c>
    </row>
    <row r="1006" spans="1:17">
      <c r="A1006" s="1006"/>
      <c r="B1006" s="985"/>
      <c r="C1006" s="989" t="s">
        <v>1861</v>
      </c>
      <c r="D1006" s="583" t="s">
        <v>3524</v>
      </c>
      <c r="E1006" s="583"/>
      <c r="F1006" s="583"/>
      <c r="G1006" s="583"/>
      <c r="H1006" s="583"/>
      <c r="I1006" s="583"/>
      <c r="J1006" s="583"/>
      <c r="K1006" s="583"/>
      <c r="L1006" s="583"/>
      <c r="M1006" s="583"/>
      <c r="O1006" s="989" t="s">
        <v>1861</v>
      </c>
      <c r="P1006" s="1010" t="str">
        <f>'Part VIII-Threshold Criteria'!P97</f>
        <v>Yes</v>
      </c>
      <c r="Q1006" s="1010">
        <f>'Part VIII-Threshold Criteria'!Q97</f>
        <v>0</v>
      </c>
    </row>
    <row r="1007" spans="1:17">
      <c r="A1007" s="1006"/>
      <c r="B1007" s="985"/>
      <c r="C1007" s="1008" t="s">
        <v>1862</v>
      </c>
      <c r="D1007" s="583" t="s">
        <v>3523</v>
      </c>
      <c r="E1007" s="583"/>
      <c r="F1007" s="583"/>
      <c r="G1007" s="583"/>
      <c r="H1007" s="583"/>
      <c r="I1007" s="583"/>
      <c r="J1007" s="583"/>
      <c r="K1007" s="583"/>
      <c r="L1007" s="583"/>
      <c r="M1007" s="583"/>
      <c r="O1007" s="1008" t="s">
        <v>1862</v>
      </c>
      <c r="P1007" s="1010" t="str">
        <f>'Part VIII-Threshold Criteria'!P98</f>
        <v>Yes</v>
      </c>
      <c r="Q1007" s="1010">
        <f>'Part VIII-Threshold Criteria'!Q98</f>
        <v>0</v>
      </c>
    </row>
    <row r="1008" spans="1:17">
      <c r="A1008" s="1006"/>
      <c r="B1008" s="1009"/>
      <c r="C1008" s="1008" t="s">
        <v>2520</v>
      </c>
      <c r="D1008" s="1583" t="s">
        <v>2918</v>
      </c>
      <c r="E1008" s="1583"/>
      <c r="F1008" s="1583"/>
      <c r="G1008" s="1583"/>
      <c r="H1008" s="1583"/>
      <c r="I1008" s="1583"/>
      <c r="J1008" s="1583"/>
      <c r="K1008" s="1583"/>
      <c r="L1008" s="1583"/>
      <c r="M1008" s="1583"/>
      <c r="N1008" s="1583"/>
      <c r="O1008" s="1008" t="s">
        <v>2520</v>
      </c>
      <c r="P1008" s="1010">
        <f>'Part VIII-Threshold Criteria'!P99</f>
        <v>0</v>
      </c>
      <c r="Q1008" s="1010">
        <f>'Part VIII-Threshold Criteria'!Q99</f>
        <v>0</v>
      </c>
    </row>
    <row r="1009" spans="1:17">
      <c r="B1009" s="990" t="s">
        <v>800</v>
      </c>
      <c r="C1009" s="583" t="s">
        <v>149</v>
      </c>
      <c r="D1009" s="583"/>
      <c r="E1009" s="583"/>
      <c r="F1009" s="583"/>
      <c r="G1009" s="583"/>
      <c r="H1009" s="583"/>
      <c r="I1009" s="583"/>
      <c r="J1009" s="583"/>
      <c r="K1009" s="583"/>
      <c r="L1009" s="583"/>
      <c r="M1009" s="583"/>
      <c r="O1009" s="989" t="s">
        <v>800</v>
      </c>
      <c r="P1009" s="1010">
        <f>'Part VIII-Threshold Criteria'!P100</f>
        <v>0</v>
      </c>
      <c r="Q1009" s="1010">
        <f>'Part VIII-Threshold Criteria'!Q100</f>
        <v>0</v>
      </c>
    </row>
    <row r="1010" spans="1:17">
      <c r="B1010" s="990" t="s">
        <v>2254</v>
      </c>
      <c r="C1010" s="583" t="s">
        <v>1523</v>
      </c>
      <c r="D1010" s="583"/>
      <c r="E1010" s="583"/>
      <c r="G1010" s="583"/>
      <c r="I1010" s="583"/>
      <c r="K1010" s="583"/>
      <c r="L1010" s="988"/>
      <c r="M1010" s="988"/>
      <c r="N1010" s="988"/>
      <c r="O1010" s="988"/>
      <c r="P1010" s="988"/>
      <c r="Q1010" s="988"/>
    </row>
    <row r="1011" spans="1:17">
      <c r="B1011" s="990"/>
      <c r="C1011" s="989" t="s">
        <v>1860</v>
      </c>
      <c r="D1011" s="583" t="s">
        <v>1524</v>
      </c>
      <c r="E1011" s="583"/>
      <c r="F1011" s="583"/>
      <c r="G1011" s="583"/>
      <c r="H1011" s="583"/>
      <c r="I1011" s="583"/>
      <c r="J1011" s="583"/>
      <c r="K1011" s="583"/>
      <c r="L1011" s="988"/>
      <c r="M1011" s="988"/>
      <c r="O1011" s="989" t="s">
        <v>1860</v>
      </c>
      <c r="P1011" s="1010" t="str">
        <f>'Part VIII-Threshold Criteria'!P102</f>
        <v>No</v>
      </c>
      <c r="Q1011" s="1010">
        <f>'Part VIII-Threshold Criteria'!Q102</f>
        <v>0</v>
      </c>
    </row>
    <row r="1012" spans="1:17">
      <c r="B1012" s="990"/>
      <c r="C1012" s="989" t="s">
        <v>1861</v>
      </c>
      <c r="D1012" s="583" t="s">
        <v>1525</v>
      </c>
      <c r="E1012" s="583"/>
      <c r="F1012" s="583"/>
      <c r="G1012" s="583"/>
      <c r="H1012" s="583"/>
      <c r="I1012" s="583"/>
      <c r="J1012" s="583"/>
      <c r="K1012" s="583"/>
      <c r="L1012" s="988"/>
      <c r="M1012" s="988"/>
      <c r="O1012" s="989" t="s">
        <v>1861</v>
      </c>
      <c r="P1012" s="1010" t="str">
        <f>'Part VIII-Threshold Criteria'!P103</f>
        <v>No</v>
      </c>
      <c r="Q1012" s="1010">
        <f>'Part VIII-Threshold Criteria'!Q103</f>
        <v>0</v>
      </c>
    </row>
    <row r="1013" spans="1:17">
      <c r="B1013" s="990"/>
      <c r="C1013" s="989" t="s">
        <v>1862</v>
      </c>
      <c r="D1013" s="583" t="s">
        <v>1526</v>
      </c>
      <c r="E1013" s="583"/>
      <c r="F1013" s="583"/>
      <c r="G1013" s="583"/>
      <c r="H1013" s="583"/>
      <c r="I1013" s="583"/>
      <c r="J1013" s="583"/>
      <c r="K1013" s="583"/>
      <c r="L1013" s="988"/>
      <c r="M1013" s="988"/>
      <c r="O1013" s="989" t="s">
        <v>1862</v>
      </c>
      <c r="P1013" s="1010" t="str">
        <f>'Part VIII-Threshold Criteria'!P104</f>
        <v>No</v>
      </c>
      <c r="Q1013" s="1010">
        <f>'Part VIII-Threshold Criteria'!Q104</f>
        <v>0</v>
      </c>
    </row>
    <row r="1014" spans="1:17">
      <c r="B1014" s="1003" t="s">
        <v>1996</v>
      </c>
      <c r="D1014" s="1003"/>
      <c r="E1014" s="1003"/>
      <c r="F1014" s="1003"/>
      <c r="G1014" s="1003"/>
      <c r="H1014" s="988"/>
      <c r="I1014" s="985"/>
      <c r="J1014" s="985"/>
      <c r="K1014" s="985"/>
      <c r="L1014" s="940"/>
      <c r="M1014" s="940"/>
      <c r="N1014" s="940"/>
      <c r="O1014" s="940"/>
      <c r="P1014" s="940"/>
      <c r="Q1014" s="940"/>
    </row>
    <row r="1015" spans="1:17">
      <c r="A1015" s="1583" t="str">
        <f>'Part VIII-Threshold Criteria'!A106</f>
        <v>The appraisal is located at Binder Tab 6 Appraisal and Electronic Folder 06Appraisal</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1997</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2854</v>
      </c>
      <c r="C1019" s="988"/>
      <c r="D1019" s="994"/>
      <c r="E1019" s="994"/>
      <c r="F1019" s="994"/>
      <c r="G1019" s="994"/>
      <c r="H1019" s="994"/>
      <c r="I1019" s="994"/>
      <c r="J1019" s="994"/>
      <c r="K1019" s="994"/>
      <c r="L1019" s="994"/>
      <c r="M1019" s="994"/>
      <c r="O1019" s="986" t="s">
        <v>1998</v>
      </c>
      <c r="P1019" s="1591">
        <f>'Part VIII-Threshold Criteria'!P110</f>
        <v>0</v>
      </c>
      <c r="Q1019" s="1591"/>
    </row>
    <row r="1021" spans="1:17">
      <c r="B1021" s="990" t="s">
        <v>2119</v>
      </c>
      <c r="C1021" s="583" t="s">
        <v>2916</v>
      </c>
      <c r="D1021" s="953"/>
      <c r="E1021" s="953"/>
      <c r="F1021" s="953"/>
      <c r="G1021" s="953"/>
      <c r="H1021" s="953"/>
      <c r="I1021" s="582"/>
      <c r="J1021" s="582"/>
      <c r="K1021" s="582"/>
      <c r="L1021" s="989" t="s">
        <v>2119</v>
      </c>
      <c r="M1021" s="1618" t="str">
        <f>'Part VIII-Threshold Criteria'!M112</f>
        <v>Geotechnical &amp; Environmental Consultants, Inc</v>
      </c>
      <c r="N1021" s="1618"/>
      <c r="O1021" s="1618"/>
      <c r="P1021" s="1618"/>
      <c r="Q1021" s="1010">
        <f>'Part VIII-Threshold Criteria'!Q112</f>
        <v>0</v>
      </c>
    </row>
    <row r="1022" spans="1:17">
      <c r="B1022" s="990" t="s">
        <v>2122</v>
      </c>
      <c r="C1022" s="583" t="s">
        <v>1646</v>
      </c>
      <c r="D1022" s="953"/>
      <c r="E1022" s="953"/>
      <c r="F1022" s="953"/>
      <c r="G1022" s="953"/>
      <c r="H1022" s="953"/>
      <c r="I1022" s="582"/>
      <c r="J1022" s="582"/>
      <c r="K1022" s="953"/>
      <c r="L1022" s="953"/>
      <c r="M1022" s="951"/>
      <c r="O1022" s="989" t="s">
        <v>2122</v>
      </c>
      <c r="P1022" s="1010" t="str">
        <f>'Part VIII-Threshold Criteria'!P113</f>
        <v>No</v>
      </c>
      <c r="Q1022" s="1010">
        <f>'Part VIII-Threshold Criteria'!Q113</f>
        <v>0</v>
      </c>
    </row>
    <row r="1023" spans="1:17">
      <c r="B1023" s="990" t="s">
        <v>800</v>
      </c>
      <c r="C1023" s="583" t="s">
        <v>158</v>
      </c>
      <c r="D1023" s="953"/>
      <c r="E1023" s="953"/>
      <c r="F1023" s="953"/>
      <c r="G1023" s="953"/>
      <c r="H1023" s="953"/>
      <c r="I1023" s="582"/>
      <c r="J1023" s="582"/>
      <c r="K1023" s="953"/>
      <c r="L1023" s="951"/>
      <c r="M1023" s="951"/>
      <c r="O1023" s="989" t="s">
        <v>800</v>
      </c>
      <c r="P1023" s="1010" t="str">
        <f>'Part VIII-Threshold Criteria'!P114</f>
        <v>Yes</v>
      </c>
      <c r="Q1023" s="1010">
        <f>'Part VIII-Threshold Criteria'!Q114</f>
        <v>0</v>
      </c>
    </row>
    <row r="1024" spans="1:17">
      <c r="B1024" s="990"/>
      <c r="C1024" s="989" t="s">
        <v>1860</v>
      </c>
      <c r="D1024" s="583" t="s">
        <v>2917</v>
      </c>
      <c r="E1024" s="953"/>
      <c r="F1024" s="953"/>
      <c r="G1024" s="953"/>
      <c r="H1024" s="953"/>
      <c r="I1024" s="582"/>
      <c r="J1024" s="582"/>
      <c r="K1024" s="953"/>
      <c r="L1024" s="989" t="s">
        <v>1860</v>
      </c>
      <c r="M1024" s="1618" t="str">
        <f>'Part VIII-Threshold Criteria'!M115</f>
        <v>Geotechnical &amp; Environmental Consultants, Inc</v>
      </c>
      <c r="N1024" s="1618"/>
      <c r="O1024" s="1618"/>
      <c r="P1024" s="1618"/>
      <c r="Q1024" s="1010">
        <f>'Part VIII-Threshold Criteria'!Q115</f>
        <v>0</v>
      </c>
    </row>
    <row r="1025" spans="2:17">
      <c r="B1025" s="997"/>
      <c r="C1025" s="989" t="s">
        <v>1861</v>
      </c>
      <c r="D1025" s="583" t="s">
        <v>2787</v>
      </c>
      <c r="E1025" s="582"/>
      <c r="F1025" s="582"/>
      <c r="G1025" s="582"/>
      <c r="H1025" s="583"/>
      <c r="I1025" s="582"/>
      <c r="J1025" s="582"/>
      <c r="K1025" s="953"/>
      <c r="L1025" s="951"/>
      <c r="M1025" s="951"/>
      <c r="O1025" s="989" t="s">
        <v>1861</v>
      </c>
      <c r="P1025" s="1010">
        <f>'Part VIII-Threshold Criteria'!P116</f>
        <v>65</v>
      </c>
      <c r="Q1025" s="1010">
        <f>'Part VIII-Threshold Criteria'!Q116</f>
        <v>0</v>
      </c>
    </row>
    <row r="1026" spans="2:17">
      <c r="B1026" s="997"/>
      <c r="C1026" s="989" t="s">
        <v>1862</v>
      </c>
      <c r="D1026" s="583" t="s">
        <v>1472</v>
      </c>
      <c r="E1026" s="582"/>
      <c r="F1026" s="582"/>
      <c r="G1026" s="582"/>
      <c r="H1026" s="583"/>
      <c r="I1026" s="582"/>
      <c r="J1026" s="582"/>
      <c r="K1026" s="953"/>
      <c r="L1026" s="951"/>
      <c r="M1026" s="951"/>
      <c r="N1026" s="951"/>
      <c r="O1026" s="951"/>
    </row>
    <row r="1027" spans="2:17">
      <c r="B1027" s="940"/>
      <c r="C1027" s="989"/>
      <c r="D1027" s="1580" t="str">
        <f>'Part VIII-Threshold Criteria'!D118</f>
        <v>The proximity to Mercer University Drive.</v>
      </c>
      <c r="E1027" s="1580"/>
      <c r="F1027" s="1580"/>
      <c r="G1027" s="1580"/>
      <c r="H1027" s="1580"/>
      <c r="I1027" s="1580"/>
      <c r="J1027" s="1580"/>
      <c r="K1027" s="1580"/>
      <c r="L1027" s="1580"/>
      <c r="M1027" s="1580"/>
      <c r="N1027" s="1580"/>
      <c r="O1027" s="1580"/>
      <c r="P1027" s="1580"/>
      <c r="Q1027" s="1580"/>
    </row>
    <row r="1028" spans="2:17">
      <c r="B1028" s="990" t="s">
        <v>2254</v>
      </c>
      <c r="C1028" s="583" t="s">
        <v>1341</v>
      </c>
      <c r="D1028" s="953"/>
      <c r="E1028" s="953"/>
      <c r="F1028" s="953"/>
      <c r="G1028" s="953"/>
      <c r="H1028" s="953"/>
      <c r="I1028" s="582"/>
      <c r="J1028" s="582"/>
      <c r="K1028" s="953"/>
      <c r="L1028" s="951"/>
      <c r="M1028" s="951"/>
      <c r="N1028" s="951"/>
      <c r="O1028" s="989" t="s">
        <v>2254</v>
      </c>
    </row>
    <row r="1029" spans="2:17">
      <c r="B1029" s="990"/>
      <c r="C1029" s="989" t="s">
        <v>1860</v>
      </c>
      <c r="D1029" s="583" t="s">
        <v>156</v>
      </c>
      <c r="E1029" s="953"/>
      <c r="F1029" s="953"/>
      <c r="G1029" s="953"/>
      <c r="H1029" s="953"/>
      <c r="I1029" s="582"/>
      <c r="J1029" s="582"/>
      <c r="K1029" s="953"/>
      <c r="L1029" s="951"/>
      <c r="M1029" s="951"/>
      <c r="O1029" s="989" t="s">
        <v>1860</v>
      </c>
      <c r="P1029" s="1010" t="str">
        <f>'Part VIII-Threshold Criteria'!P120</f>
        <v>No</v>
      </c>
      <c r="Q1029" s="1010">
        <f>'Part VIII-Threshold Criteria'!Q120</f>
        <v>0</v>
      </c>
    </row>
    <row r="1030" spans="2:17">
      <c r="B1030" s="990"/>
      <c r="C1030" s="989" t="s">
        <v>1861</v>
      </c>
      <c r="D1030" s="583" t="s">
        <v>1342</v>
      </c>
      <c r="E1030" s="953"/>
      <c r="F1030" s="953"/>
      <c r="G1030" s="953"/>
      <c r="H1030" s="582"/>
      <c r="I1030" s="582"/>
      <c r="J1030" s="582"/>
      <c r="K1030" s="953"/>
      <c r="L1030" s="951"/>
      <c r="M1030" s="951"/>
      <c r="O1030" s="989" t="s">
        <v>1861</v>
      </c>
      <c r="P1030" s="1010" t="str">
        <f>'Part VIII-Threshold Criteria'!P121</f>
        <v>Yes</v>
      </c>
      <c r="Q1030" s="1010">
        <f>'Part VIII-Threshold Criteria'!Q121</f>
        <v>0</v>
      </c>
    </row>
    <row r="1031" spans="2:17">
      <c r="B1031" s="990"/>
      <c r="C1031" s="989"/>
      <c r="D1031" s="583" t="s">
        <v>2829</v>
      </c>
      <c r="E1031" s="1011" t="s">
        <v>2600</v>
      </c>
      <c r="F1031" s="583" t="s">
        <v>2830</v>
      </c>
      <c r="G1031" s="582"/>
      <c r="H1031" s="583"/>
      <c r="I1031" s="582"/>
      <c r="J1031" s="582"/>
      <c r="K1031" s="953"/>
      <c r="L1031" s="951"/>
      <c r="M1031" s="951"/>
      <c r="O1031" s="1011" t="s">
        <v>2600</v>
      </c>
      <c r="P1031" s="1119">
        <f>'Part VIII-Threshold Criteria'!P122</f>
        <v>0.45</v>
      </c>
      <c r="Q1031" s="1119">
        <f>'Part VIII-Threshold Criteria'!Q122</f>
        <v>0</v>
      </c>
    </row>
    <row r="1032" spans="2:17">
      <c r="B1032" s="990"/>
      <c r="C1032" s="989"/>
      <c r="E1032" s="1011" t="s">
        <v>2601</v>
      </c>
      <c r="F1032" s="583" t="s">
        <v>2831</v>
      </c>
      <c r="G1032" s="582"/>
      <c r="H1032" s="583"/>
      <c r="I1032" s="582"/>
      <c r="J1032" s="582"/>
      <c r="K1032" s="953"/>
      <c r="L1032" s="951"/>
      <c r="M1032" s="951"/>
      <c r="O1032" s="1011" t="s">
        <v>2601</v>
      </c>
      <c r="P1032" s="1010" t="str">
        <f>'Part VIII-Threshold Criteria'!P123</f>
        <v>Yes</v>
      </c>
      <c r="Q1032" s="1010">
        <f>'Part VIII-Threshold Criteria'!Q123</f>
        <v>0</v>
      </c>
    </row>
    <row r="1033" spans="2:17">
      <c r="B1033" s="990"/>
      <c r="C1033" s="989"/>
      <c r="E1033" s="1011" t="s">
        <v>2602</v>
      </c>
      <c r="F1033" s="583" t="s">
        <v>2832</v>
      </c>
      <c r="G1033" s="582"/>
      <c r="H1033" s="583"/>
      <c r="I1033" s="582"/>
      <c r="J1033" s="582"/>
      <c r="K1033" s="953"/>
      <c r="L1033" s="951"/>
      <c r="M1033" s="951"/>
      <c r="O1033" s="1011" t="s">
        <v>2602</v>
      </c>
      <c r="P1033" s="1010" t="str">
        <f>'Part VIII-Threshold Criteria'!P124</f>
        <v>Yes</v>
      </c>
      <c r="Q1033" s="1010">
        <f>'Part VIII-Threshold Criteria'!Q124</f>
        <v>0</v>
      </c>
    </row>
    <row r="1034" spans="2:17">
      <c r="B1034" s="990"/>
      <c r="C1034" s="989" t="s">
        <v>1862</v>
      </c>
      <c r="D1034" s="583" t="s">
        <v>1343</v>
      </c>
      <c r="E1034" s="953"/>
      <c r="F1034" s="953"/>
      <c r="G1034" s="953"/>
      <c r="H1034" s="583"/>
      <c r="I1034" s="582"/>
      <c r="J1034" s="582"/>
      <c r="K1034" s="953"/>
      <c r="L1034" s="951"/>
      <c r="M1034" s="951"/>
      <c r="O1034" s="989" t="s">
        <v>1862</v>
      </c>
      <c r="P1034" s="1010" t="str">
        <f>'Part VIII-Threshold Criteria'!P125</f>
        <v>Yes</v>
      </c>
      <c r="Q1034" s="1010">
        <f>'Part VIII-Threshold Criteria'!Q125</f>
        <v>0</v>
      </c>
    </row>
    <row r="1035" spans="2:17">
      <c r="B1035" s="990"/>
      <c r="C1035" s="989"/>
      <c r="D1035" s="583" t="s">
        <v>2829</v>
      </c>
      <c r="E1035" s="1011" t="s">
        <v>2600</v>
      </c>
      <c r="F1035" s="583" t="s">
        <v>2833</v>
      </c>
      <c r="G1035" s="582"/>
      <c r="H1035" s="583"/>
      <c r="I1035" s="582"/>
      <c r="J1035" s="582"/>
      <c r="K1035" s="953"/>
      <c r="L1035" s="951"/>
      <c r="O1035" s="1011" t="s">
        <v>2600</v>
      </c>
      <c r="P1035" s="1119">
        <f>'Part VIII-Threshold Criteria'!P126</f>
        <v>0.38</v>
      </c>
      <c r="Q1035" s="1119">
        <f>'Part VIII-Threshold Criteria'!Q126</f>
        <v>0</v>
      </c>
    </row>
    <row r="1036" spans="2:17">
      <c r="B1036" s="990"/>
      <c r="C1036" s="989"/>
      <c r="E1036" s="1011" t="s">
        <v>2601</v>
      </c>
      <c r="F1036" s="583" t="s">
        <v>2834</v>
      </c>
      <c r="G1036" s="582"/>
      <c r="H1036" s="583"/>
      <c r="I1036" s="582"/>
      <c r="J1036" s="582"/>
      <c r="O1036" s="1011" t="s">
        <v>2601</v>
      </c>
      <c r="P1036" s="1010" t="str">
        <f>'Part VIII-Threshold Criteria'!P127</f>
        <v>No</v>
      </c>
      <c r="Q1036" s="1010">
        <f>'Part VIII-Threshold Criteria'!Q127</f>
        <v>0</v>
      </c>
    </row>
    <row r="1037" spans="2:17">
      <c r="B1037" s="990"/>
      <c r="C1037" s="989"/>
      <c r="E1037" s="1011" t="s">
        <v>2602</v>
      </c>
      <c r="F1037" s="583" t="s">
        <v>2832</v>
      </c>
      <c r="G1037" s="582"/>
      <c r="H1037" s="583"/>
      <c r="I1037" s="582"/>
      <c r="J1037" s="582"/>
      <c r="O1037" s="1011" t="s">
        <v>2602</v>
      </c>
      <c r="P1037" s="1010" t="str">
        <f>'Part VIII-Threshold Criteria'!P128</f>
        <v>Yes</v>
      </c>
      <c r="Q1037" s="1010">
        <f>'Part VIII-Threshold Criteria'!Q128</f>
        <v>0</v>
      </c>
    </row>
    <row r="1038" spans="2:17">
      <c r="B1038" s="583"/>
      <c r="C1038" s="989" t="s">
        <v>2520</v>
      </c>
      <c r="D1038" s="583" t="s">
        <v>2835</v>
      </c>
      <c r="E1038" s="953"/>
      <c r="F1038" s="953"/>
      <c r="G1038" s="953"/>
      <c r="H1038" s="953"/>
      <c r="I1038" s="582"/>
      <c r="J1038" s="582"/>
      <c r="O1038" s="989" t="s">
        <v>2520</v>
      </c>
      <c r="P1038" s="1010" t="str">
        <f>'Part VIII-Threshold Criteria'!P129</f>
        <v>No</v>
      </c>
      <c r="Q1038" s="1010">
        <f>'Part VIII-Threshold Criteria'!Q129</f>
        <v>0</v>
      </c>
    </row>
    <row r="1039" spans="2:17">
      <c r="B1039" s="990" t="s">
        <v>1858</v>
      </c>
      <c r="C1039" s="988" t="s">
        <v>2578</v>
      </c>
      <c r="D1039" s="953"/>
      <c r="E1039" s="953"/>
      <c r="F1039" s="953"/>
      <c r="G1039" s="953"/>
      <c r="H1039" s="953"/>
      <c r="I1039" s="582"/>
      <c r="J1039" s="582"/>
      <c r="K1039" s="953"/>
      <c r="L1039" s="951"/>
      <c r="M1039" s="951"/>
      <c r="N1039" s="951"/>
      <c r="O1039" s="951"/>
      <c r="P1039" s="951"/>
      <c r="Q1039" s="951"/>
    </row>
    <row r="1040" spans="2:17">
      <c r="C1040" s="989" t="s">
        <v>1860</v>
      </c>
      <c r="D1040" s="583" t="s">
        <v>2664</v>
      </c>
      <c r="E1040" s="953"/>
      <c r="F1040" s="1010" t="str">
        <f>'Part VIII-Threshold Criteria'!F131</f>
        <v>Yes</v>
      </c>
      <c r="G1040" s="1010">
        <f>'Part VIII-Threshold Criteria'!G131</f>
        <v>0</v>
      </c>
      <c r="H1040" s="989" t="s">
        <v>1658</v>
      </c>
      <c r="I1040" s="565" t="s">
        <v>2837</v>
      </c>
      <c r="L1040" s="1010" t="str">
        <f>'Part VIII-Threshold Criteria'!L131</f>
        <v>No</v>
      </c>
      <c r="M1040" s="1010">
        <f>'Part VIII-Threshold Criteria'!M131</f>
        <v>0</v>
      </c>
      <c r="N1040" s="989" t="s">
        <v>546</v>
      </c>
      <c r="O1040" s="583" t="s">
        <v>1661</v>
      </c>
      <c r="P1040" s="1010" t="str">
        <f>'Part VIII-Threshold Criteria'!P131</f>
        <v>No</v>
      </c>
      <c r="Q1040" s="1010">
        <f>'Part VIII-Threshold Criteria'!Q131</f>
        <v>0</v>
      </c>
    </row>
    <row r="1041" spans="1:17">
      <c r="B1041" s="583"/>
      <c r="C1041" s="989" t="s">
        <v>1861</v>
      </c>
      <c r="D1041" s="583" t="s">
        <v>3262</v>
      </c>
      <c r="E1041" s="953"/>
      <c r="F1041" s="1010" t="str">
        <f>'Part VIII-Threshold Criteria'!F132</f>
        <v>No</v>
      </c>
      <c r="G1041" s="1010">
        <f>'Part VIII-Threshold Criteria'!G132</f>
        <v>0</v>
      </c>
      <c r="H1041" s="989" t="s">
        <v>1659</v>
      </c>
      <c r="I1041" s="565" t="s">
        <v>2838</v>
      </c>
      <c r="L1041" s="1010" t="str">
        <f>'Part VIII-Threshold Criteria'!L132</f>
        <v>No</v>
      </c>
      <c r="M1041" s="1010">
        <f>'Part VIII-Threshold Criteria'!M132</f>
        <v>0</v>
      </c>
      <c r="N1041" s="989" t="s">
        <v>547</v>
      </c>
      <c r="O1041" s="583" t="s">
        <v>1660</v>
      </c>
      <c r="P1041" s="1010" t="str">
        <f>'Part VIII-Threshold Criteria'!P132</f>
        <v>No</v>
      </c>
      <c r="Q1041" s="1010">
        <f>'Part VIII-Threshold Criteria'!Q132</f>
        <v>0</v>
      </c>
    </row>
    <row r="1042" spans="1:17">
      <c r="B1042" s="583"/>
      <c r="C1042" s="989" t="s">
        <v>1862</v>
      </c>
      <c r="D1042" s="583" t="s">
        <v>2836</v>
      </c>
      <c r="E1042" s="953"/>
      <c r="F1042" s="1010" t="str">
        <f>'Part VIII-Threshold Criteria'!F133</f>
        <v>No</v>
      </c>
      <c r="G1042" s="1010">
        <f>'Part VIII-Threshold Criteria'!G133</f>
        <v>0</v>
      </c>
      <c r="H1042" s="989" t="s">
        <v>101</v>
      </c>
      <c r="I1042" s="565" t="s">
        <v>3263</v>
      </c>
      <c r="L1042" s="1010" t="str">
        <f>'Part VIII-Threshold Criteria'!L133</f>
        <v>No</v>
      </c>
      <c r="M1042" s="1010">
        <f>'Part VIII-Threshold Criteria'!M133</f>
        <v>0</v>
      </c>
      <c r="N1042" s="989" t="s">
        <v>3265</v>
      </c>
      <c r="O1042" s="583" t="s">
        <v>1662</v>
      </c>
      <c r="P1042" s="1010" t="str">
        <f>'Part VIII-Threshold Criteria'!P133</f>
        <v>Yes</v>
      </c>
      <c r="Q1042" s="1010">
        <f>'Part VIII-Threshold Criteria'!Q133</f>
        <v>0</v>
      </c>
    </row>
    <row r="1043" spans="1:17">
      <c r="B1043" s="583"/>
      <c r="C1043" s="989" t="s">
        <v>2520</v>
      </c>
      <c r="D1043" s="583" t="s">
        <v>3266</v>
      </c>
      <c r="E1043" s="953"/>
      <c r="F1043" s="1010" t="str">
        <f>'Part VIII-Threshold Criteria'!F134</f>
        <v>No</v>
      </c>
      <c r="G1043" s="1010">
        <f>'Part VIII-Threshold Criteria'!G134</f>
        <v>0</v>
      </c>
      <c r="H1043" s="989" t="s">
        <v>545</v>
      </c>
      <c r="I1043" s="583" t="s">
        <v>3261</v>
      </c>
      <c r="L1043" s="1010" t="str">
        <f>'Part VIII-Threshold Criteria'!L134</f>
        <v>Yes</v>
      </c>
      <c r="M1043" s="1010">
        <f>'Part VIII-Threshold Criteria'!M134</f>
        <v>0</v>
      </c>
      <c r="O1043" s="989"/>
    </row>
    <row r="1044" spans="1:17">
      <c r="B1044" s="583"/>
      <c r="C1044" s="989" t="s">
        <v>3560</v>
      </c>
      <c r="D1044" s="583" t="s">
        <v>3264</v>
      </c>
      <c r="E1044" s="953"/>
      <c r="F1044" s="953"/>
      <c r="G1044" s="953"/>
      <c r="H1044" s="953"/>
      <c r="I1044" s="953"/>
      <c r="J1044" s="953"/>
      <c r="K1044" s="953"/>
      <c r="L1044" s="953"/>
      <c r="M1044" s="583"/>
      <c r="O1044" s="989"/>
      <c r="P1044" s="989"/>
    </row>
    <row r="1045" spans="1:17">
      <c r="B1045" s="583"/>
      <c r="D1045" s="1618" t="str">
        <f>'Part VIII-Threshold Criteria'!D136</f>
        <v>There are no other environmental issues.</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1859</v>
      </c>
      <c r="C1046" s="583" t="s">
        <v>1371</v>
      </c>
      <c r="D1046" s="953"/>
      <c r="E1046" s="953"/>
      <c r="F1046" s="953"/>
      <c r="G1046" s="953"/>
      <c r="H1046" s="953"/>
      <c r="I1046" s="582"/>
      <c r="J1046" s="582"/>
      <c r="K1046" s="953"/>
      <c r="L1046" s="953"/>
      <c r="M1046" s="951"/>
      <c r="O1046" s="989" t="s">
        <v>1859</v>
      </c>
      <c r="P1046" s="1010" t="str">
        <f>'Part VIII-Threshold Criteria'!P137</f>
        <v>N/A</v>
      </c>
      <c r="Q1046" s="1010">
        <f>'Part VIII-Threshold Criteria'!Q137</f>
        <v>0</v>
      </c>
    </row>
    <row r="1047" spans="1:17">
      <c r="A1047" s="1006"/>
      <c r="B1047" s="582"/>
      <c r="C1047" s="989" t="s">
        <v>1860</v>
      </c>
      <c r="D1047" s="583" t="s">
        <v>3267</v>
      </c>
      <c r="E1047" s="953"/>
      <c r="F1047" s="953"/>
      <c r="G1047" s="953"/>
      <c r="H1047" s="953"/>
      <c r="O1047" s="989" t="s">
        <v>1860</v>
      </c>
      <c r="P1047" s="1010">
        <f>'Part VIII-Threshold Criteria'!P138</f>
        <v>0</v>
      </c>
      <c r="Q1047" s="1010">
        <f>'Part VIII-Threshold Criteria'!Q138</f>
        <v>0</v>
      </c>
    </row>
    <row r="1048" spans="1:17">
      <c r="A1048" s="1006"/>
      <c r="B1048" s="985"/>
      <c r="C1048" s="989" t="s">
        <v>1861</v>
      </c>
      <c r="D1048" s="583" t="s">
        <v>523</v>
      </c>
      <c r="E1048" s="583"/>
      <c r="F1048" s="583"/>
      <c r="G1048" s="583"/>
      <c r="H1048" s="583"/>
      <c r="I1048" s="582"/>
      <c r="J1048" s="582"/>
      <c r="K1048" s="583"/>
      <c r="L1048" s="583"/>
      <c r="M1048" s="583"/>
      <c r="O1048" s="989" t="s">
        <v>1861</v>
      </c>
      <c r="P1048" s="1010">
        <f>'Part VIII-Threshold Criteria'!P139</f>
        <v>0</v>
      </c>
      <c r="Q1048" s="1010">
        <f>'Part VIII-Threshold Criteria'!Q139</f>
        <v>0</v>
      </c>
    </row>
    <row r="1049" spans="1:17">
      <c r="A1049" s="1006"/>
      <c r="B1049" s="985"/>
      <c r="C1049" s="989" t="s">
        <v>1862</v>
      </c>
      <c r="D1049" s="583" t="s">
        <v>728</v>
      </c>
      <c r="E1049" s="583"/>
      <c r="F1049" s="583"/>
      <c r="G1049" s="583"/>
      <c r="H1049" s="583"/>
      <c r="I1049" s="582"/>
      <c r="J1049" s="582"/>
      <c r="K1049" s="583"/>
      <c r="L1049" s="583"/>
      <c r="M1049" s="583"/>
      <c r="O1049" s="989" t="s">
        <v>1862</v>
      </c>
      <c r="P1049" s="1010">
        <f>'Part VIII-Threshold Criteria'!P140</f>
        <v>0</v>
      </c>
      <c r="Q1049" s="1010">
        <f>'Part VIII-Threshold Criteria'!Q140</f>
        <v>0</v>
      </c>
    </row>
    <row r="1050" spans="1:17">
      <c r="B1050" s="990" t="s">
        <v>2082</v>
      </c>
      <c r="C1050" s="583" t="s">
        <v>1877</v>
      </c>
      <c r="D1050" s="953"/>
      <c r="E1050" s="953"/>
      <c r="F1050" s="953"/>
      <c r="G1050" s="953"/>
      <c r="H1050" s="953"/>
      <c r="I1050" s="582"/>
      <c r="J1050" s="582"/>
      <c r="K1050" s="953"/>
      <c r="L1050" s="953"/>
      <c r="M1050" s="951"/>
      <c r="O1050" s="989" t="s">
        <v>2082</v>
      </c>
      <c r="P1050" s="1010" t="str">
        <f>'Part VIII-Threshold Criteria'!P141</f>
        <v>N/A</v>
      </c>
      <c r="Q1050" s="1010">
        <f>'Part VIII-Threshold Criteria'!Q141</f>
        <v>0</v>
      </c>
    </row>
    <row r="1052" spans="1:17">
      <c r="B1052" s="1003" t="s">
        <v>1996</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The Environmental Study is located at Binder Tab 07 and Electronic Folder 07Environmental at 0702012014-0xxMcnGdnsESAPh1.  The floodplain percentage of the site is estimated.  Per the Phase I, the improved areas are outside the flood zone.</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1997</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2855</v>
      </c>
      <c r="C1057" s="935"/>
      <c r="D1057" s="994"/>
      <c r="E1057" s="994"/>
      <c r="F1057" s="994"/>
      <c r="G1057" s="994"/>
      <c r="H1057" s="994"/>
      <c r="I1057" s="994"/>
      <c r="J1057" s="994"/>
      <c r="K1057" s="994"/>
      <c r="O1057" s="986" t="s">
        <v>1998</v>
      </c>
      <c r="P1057" s="1591">
        <f>'Part VIII-Threshold Criteria'!P148</f>
        <v>0</v>
      </c>
      <c r="Q1057" s="1591"/>
    </row>
    <row r="1058" spans="1:17">
      <c r="B1058" s="990" t="s">
        <v>2119</v>
      </c>
      <c r="C1058" s="583" t="s">
        <v>3260</v>
      </c>
      <c r="D1058" s="583"/>
      <c r="E1058" s="583"/>
      <c r="F1058" s="583"/>
      <c r="G1058" s="583"/>
      <c r="I1058" s="583" t="s">
        <v>2949</v>
      </c>
      <c r="K1058" s="1731">
        <f>'Part VIII-Threshold Criteria'!K149</f>
        <v>42004</v>
      </c>
      <c r="L1058" s="1731"/>
      <c r="N1058" s="583"/>
      <c r="O1058" s="989" t="s">
        <v>2119</v>
      </c>
      <c r="P1058" s="1010" t="str">
        <f>'Part VIII-Threshold Criteria'!P149</f>
        <v>Yes</v>
      </c>
      <c r="Q1058" s="1010">
        <f>'Part VIII-Threshold Criteria'!Q149</f>
        <v>0</v>
      </c>
    </row>
    <row r="1059" spans="1:17">
      <c r="A1059" s="997"/>
      <c r="B1059" s="990" t="s">
        <v>2122</v>
      </c>
      <c r="C1059" s="996" t="s">
        <v>157</v>
      </c>
      <c r="D1059" s="996"/>
      <c r="E1059" s="996"/>
      <c r="F1059" s="996"/>
      <c r="G1059" s="996"/>
      <c r="H1059" s="996"/>
      <c r="M1059" s="989" t="s">
        <v>2122</v>
      </c>
      <c r="N1059" s="1707" t="str">
        <f>'Part VIII-Threshold Criteria'!N150</f>
        <v>Contract/Option</v>
      </c>
      <c r="O1059" s="1707"/>
      <c r="P1059" s="1707">
        <f>'Part VIII-Threshold Criteria'!P150</f>
        <v>0</v>
      </c>
      <c r="Q1059" s="1707"/>
    </row>
    <row r="1060" spans="1:17">
      <c r="A1060" s="997"/>
      <c r="B1060" s="990" t="s">
        <v>800</v>
      </c>
      <c r="C1060" s="996" t="s">
        <v>729</v>
      </c>
      <c r="D1060" s="996"/>
      <c r="E1060" s="996"/>
      <c r="F1060" s="996"/>
      <c r="G1060" s="996"/>
      <c r="H1060" s="996"/>
      <c r="J1060" s="989" t="s">
        <v>800</v>
      </c>
      <c r="K1060" s="1618" t="str">
        <f>'Part VIII-Threshold Criteria'!K151</f>
        <v>Macon Properties, LTD</v>
      </c>
      <c r="L1060" s="1618"/>
      <c r="M1060" s="1618"/>
      <c r="N1060" s="1618"/>
      <c r="O1060" s="1618"/>
      <c r="P1060" s="1618"/>
      <c r="Q1060" s="1010">
        <f>'Part VIII-Threshold Criteria'!Q151</f>
        <v>0</v>
      </c>
    </row>
    <row r="1061" spans="1:17">
      <c r="A1061" s="997"/>
      <c r="B1061" s="990" t="s">
        <v>2254</v>
      </c>
      <c r="C1061" s="996" t="s">
        <v>3541</v>
      </c>
      <c r="D1061" s="996"/>
      <c r="E1061" s="996"/>
      <c r="F1061" s="996"/>
      <c r="G1061" s="996"/>
      <c r="H1061" s="996"/>
      <c r="J1061" s="989"/>
      <c r="K1061" s="989"/>
      <c r="L1061" s="989"/>
      <c r="M1061" s="989"/>
      <c r="N1061" s="989"/>
      <c r="O1061" s="989" t="s">
        <v>2254</v>
      </c>
      <c r="P1061" s="1010" t="str">
        <f>'Part VIII-Threshold Criteria'!P152</f>
        <v>No</v>
      </c>
      <c r="Q1061" s="1010">
        <f>'Part VIII-Threshold Criteria'!Q152</f>
        <v>0</v>
      </c>
    </row>
    <row r="1062" spans="1:17">
      <c r="B1062" s="1003" t="s">
        <v>1996</v>
      </c>
      <c r="D1062" s="1003"/>
      <c r="E1062" s="1003"/>
      <c r="F1062" s="1003"/>
      <c r="G1062" s="1003"/>
      <c r="H1062" s="988"/>
      <c r="I1062" s="985"/>
      <c r="J1062" s="985"/>
      <c r="K1062" s="985"/>
      <c r="L1062" s="940"/>
      <c r="M1062" s="940"/>
      <c r="N1062" s="940"/>
      <c r="O1062" s="940"/>
      <c r="P1062" s="940"/>
      <c r="Q1062" s="940"/>
    </row>
    <row r="1063" spans="1:17">
      <c r="A1063" s="1583" t="str">
        <f>'Part VIII-Threshold Criteria'!A154</f>
        <v>The purchase and sales agreement is located at Binder Tab 08 Site Control and Electronic Folder 08SiteControl.</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1997</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2856</v>
      </c>
      <c r="C1067" s="935"/>
      <c r="D1067" s="994"/>
      <c r="E1067" s="994"/>
      <c r="F1067" s="994"/>
      <c r="G1067" s="994"/>
      <c r="H1067" s="994"/>
      <c r="I1067" s="994"/>
      <c r="J1067" s="994"/>
      <c r="K1067" s="994"/>
      <c r="L1067" s="994"/>
      <c r="M1067" s="994"/>
      <c r="O1067" s="986" t="s">
        <v>1998</v>
      </c>
      <c r="P1067" s="1591">
        <f>'Part VIII-Threshold Criteria'!P158</f>
        <v>0</v>
      </c>
      <c r="Q1067" s="1591"/>
    </row>
    <row r="1068" spans="1:17">
      <c r="B1068" s="987" t="s">
        <v>2119</v>
      </c>
      <c r="C1068" s="1583" t="s">
        <v>3525</v>
      </c>
      <c r="D1068" s="1583"/>
      <c r="E1068" s="1583"/>
      <c r="F1068" s="1583"/>
      <c r="G1068" s="1583"/>
      <c r="H1068" s="1583"/>
      <c r="I1068" s="1583"/>
      <c r="J1068" s="1583"/>
      <c r="K1068" s="1583"/>
      <c r="L1068" s="1583"/>
      <c r="M1068" s="1583"/>
      <c r="N1068" s="1583"/>
      <c r="O1068" s="1008" t="s">
        <v>2119</v>
      </c>
      <c r="P1068" s="1010" t="str">
        <f>'Part VIII-Threshold Criteria'!P159</f>
        <v>Yes</v>
      </c>
      <c r="Q1068" s="1010">
        <f>'Part VIII-Threshold Criteria'!Q159</f>
        <v>0</v>
      </c>
    </row>
    <row r="1069" spans="1:17">
      <c r="B1069" s="987" t="s">
        <v>2122</v>
      </c>
      <c r="C1069" s="1583" t="s">
        <v>2679</v>
      </c>
      <c r="D1069" s="1583"/>
      <c r="E1069" s="1583"/>
      <c r="F1069" s="1583"/>
      <c r="G1069" s="1583"/>
      <c r="H1069" s="1583"/>
      <c r="I1069" s="1583"/>
      <c r="J1069" s="1583"/>
      <c r="K1069" s="1583"/>
      <c r="L1069" s="1583"/>
      <c r="M1069" s="1583"/>
      <c r="N1069" s="1583"/>
      <c r="O1069" s="1008" t="s">
        <v>2122</v>
      </c>
      <c r="P1069" s="1010">
        <f>'Part VIII-Threshold Criteria'!P160</f>
        <v>0</v>
      </c>
      <c r="Q1069" s="1010">
        <f>'Part VIII-Threshold Criteria'!Q160</f>
        <v>0</v>
      </c>
    </row>
    <row r="1070" spans="1:17">
      <c r="B1070" s="987" t="s">
        <v>800</v>
      </c>
      <c r="C1070" s="1583" t="s">
        <v>2839</v>
      </c>
      <c r="D1070" s="1583"/>
      <c r="E1070" s="1583"/>
      <c r="F1070" s="1583"/>
      <c r="G1070" s="1583"/>
      <c r="H1070" s="1583"/>
      <c r="I1070" s="1583"/>
      <c r="J1070" s="1583"/>
      <c r="K1070" s="1583"/>
      <c r="L1070" s="1583"/>
      <c r="M1070" s="1583"/>
      <c r="N1070" s="1583"/>
      <c r="O1070" s="1008" t="s">
        <v>800</v>
      </c>
      <c r="P1070" s="1010">
        <f>'Part VIII-Threshold Criteria'!P161</f>
        <v>0</v>
      </c>
      <c r="Q1070" s="1010">
        <f>'Part VIII-Threshold Criteria'!Q161</f>
        <v>0</v>
      </c>
    </row>
    <row r="1071" spans="1:17">
      <c r="B1071" s="1003" t="s">
        <v>1996</v>
      </c>
      <c r="D1071" s="1003"/>
      <c r="E1071" s="1003"/>
      <c r="F1071" s="1003"/>
      <c r="G1071" s="1003"/>
      <c r="H1071" s="988"/>
      <c r="I1071" s="985"/>
      <c r="J1071" s="985"/>
      <c r="K1071" s="985"/>
      <c r="L1071" s="940"/>
      <c r="M1071" s="940"/>
      <c r="N1071" s="940"/>
      <c r="O1071" s="940"/>
      <c r="P1071" s="940"/>
      <c r="Q1071" s="940"/>
    </row>
    <row r="1072" spans="1:17">
      <c r="A1072" s="1583" t="str">
        <f>'Part VIII-Threshold Criteria'!A163</f>
        <v>The completed survey illustrating legally accessible paved roads is located at Binder Tab 09 Site Access and Electronic Folder at 09SiteAccess.</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1997</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2857</v>
      </c>
      <c r="C1076" s="1732"/>
      <c r="D1076" s="1732"/>
      <c r="O1076" s="986" t="s">
        <v>1998</v>
      </c>
      <c r="P1076" s="1591">
        <f>'Part VIII-Threshold Criteria'!P167</f>
        <v>0</v>
      </c>
      <c r="Q1076" s="1591"/>
    </row>
    <row r="1077" spans="1:17">
      <c r="B1077" s="987" t="s">
        <v>2119</v>
      </c>
      <c r="C1077" s="1001" t="s">
        <v>498</v>
      </c>
      <c r="D1077" s="1001"/>
      <c r="E1077" s="1001"/>
      <c r="F1077" s="1001"/>
      <c r="G1077" s="1001"/>
      <c r="H1077" s="1001"/>
      <c r="I1077" s="1001"/>
      <c r="J1077" s="1001"/>
      <c r="K1077" s="1001"/>
      <c r="L1077" s="1001"/>
      <c r="M1077" s="1001"/>
      <c r="O1077" s="1008" t="s">
        <v>2119</v>
      </c>
      <c r="P1077" s="1010" t="str">
        <f>'Part VIII-Threshold Criteria'!P168</f>
        <v>Yes</v>
      </c>
      <c r="Q1077" s="1010">
        <f>'Part VIII-Threshold Criteria'!Q168</f>
        <v>0</v>
      </c>
    </row>
    <row r="1078" spans="1:17">
      <c r="B1078" s="987" t="s">
        <v>2122</v>
      </c>
      <c r="C1078" s="1001" t="s">
        <v>2840</v>
      </c>
      <c r="D1078" s="1001"/>
      <c r="E1078" s="1001"/>
      <c r="F1078" s="1001"/>
      <c r="G1078" s="1001"/>
      <c r="H1078" s="1001"/>
      <c r="I1078" s="1001"/>
      <c r="J1078" s="1001"/>
      <c r="K1078" s="1001"/>
      <c r="L1078" s="1001"/>
      <c r="M1078" s="1001"/>
      <c r="O1078" s="1008" t="s">
        <v>2122</v>
      </c>
      <c r="P1078" s="1010" t="str">
        <f>'Part VIII-Threshold Criteria'!P169</f>
        <v>Yes</v>
      </c>
      <c r="Q1078" s="1010">
        <f>'Part VIII-Threshold Criteria'!Q169</f>
        <v>0</v>
      </c>
    </row>
    <row r="1079" spans="1:17">
      <c r="B1079" s="987" t="s">
        <v>800</v>
      </c>
      <c r="C1079" s="1001" t="s">
        <v>2841</v>
      </c>
      <c r="D1079" s="1001"/>
      <c r="E1079" s="1001"/>
      <c r="F1079" s="1001"/>
      <c r="G1079" s="1001"/>
      <c r="H1079" s="1001"/>
      <c r="I1079" s="1001"/>
      <c r="J1079" s="1001"/>
      <c r="K1079" s="1001"/>
      <c r="L1079" s="1001"/>
      <c r="M1079" s="1001"/>
      <c r="O1079" s="1008" t="s">
        <v>800</v>
      </c>
      <c r="P1079" s="1010" t="str">
        <f>'Part VIII-Threshold Criteria'!P170</f>
        <v>Yes</v>
      </c>
      <c r="Q1079" s="1010">
        <f>'Part VIII-Threshold Criteria'!Q170</f>
        <v>0</v>
      </c>
    </row>
    <row r="1080" spans="1:17">
      <c r="B1080" s="987"/>
      <c r="C1080" s="1001" t="s">
        <v>2829</v>
      </c>
      <c r="D1080" s="1001"/>
      <c r="E1080" s="1011" t="s">
        <v>1860</v>
      </c>
      <c r="F1080" s="1001" t="s">
        <v>2842</v>
      </c>
      <c r="G1080" s="1001"/>
      <c r="H1080" s="1001"/>
      <c r="I1080" s="1001"/>
      <c r="J1080" s="1001"/>
      <c r="K1080" s="1001"/>
      <c r="L1080" s="1001"/>
      <c r="M1080" s="1001"/>
      <c r="O1080" s="1011" t="s">
        <v>1860</v>
      </c>
      <c r="P1080" s="1010" t="str">
        <f>'Part VIII-Threshold Criteria'!P171</f>
        <v>Yes</v>
      </c>
      <c r="Q1080" s="1010">
        <f>'Part VIII-Threshold Criteria'!Q171</f>
        <v>0</v>
      </c>
    </row>
    <row r="1081" spans="1:17">
      <c r="B1081" s="987"/>
      <c r="C1081" s="1001"/>
      <c r="D1081" s="1001"/>
      <c r="E1081" s="1011" t="s">
        <v>1861</v>
      </c>
      <c r="F1081" s="1001" t="s">
        <v>3681</v>
      </c>
      <c r="G1081" s="1001"/>
      <c r="H1081" s="1001"/>
      <c r="I1081" s="1001"/>
      <c r="J1081" s="1001"/>
      <c r="K1081" s="1001"/>
      <c r="L1081" s="1001"/>
      <c r="M1081" s="1001"/>
      <c r="O1081" s="1011" t="s">
        <v>1861</v>
      </c>
      <c r="P1081" s="1010" t="str">
        <f>'Part VIII-Threshold Criteria'!P172</f>
        <v>Yes</v>
      </c>
      <c r="Q1081" s="1010">
        <f>'Part VIII-Threshold Criteria'!Q172</f>
        <v>0</v>
      </c>
    </row>
    <row r="1082" spans="1:17">
      <c r="A1082" s="1007"/>
      <c r="B1082" s="987"/>
      <c r="C1082" s="1001"/>
      <c r="D1082" s="1001"/>
      <c r="E1082" s="1008" t="s">
        <v>1862</v>
      </c>
      <c r="F1082" s="1583" t="s">
        <v>2844</v>
      </c>
      <c r="G1082" s="1583"/>
      <c r="H1082" s="1583"/>
      <c r="I1082" s="1583"/>
      <c r="J1082" s="1583"/>
      <c r="K1082" s="1583"/>
      <c r="L1082" s="1583"/>
      <c r="M1082" s="1583"/>
      <c r="N1082" s="1583"/>
      <c r="O1082" s="1008" t="s">
        <v>1862</v>
      </c>
      <c r="P1082" s="1010" t="str">
        <f>'Part VIII-Threshold Criteria'!P173</f>
        <v>Yes</v>
      </c>
      <c r="Q1082" s="1010">
        <f>'Part VIII-Threshold Criteria'!Q173</f>
        <v>0</v>
      </c>
    </row>
    <row r="1083" spans="1:17">
      <c r="B1083" s="987"/>
      <c r="C1083" s="1001"/>
      <c r="D1083" s="1001"/>
      <c r="E1083" s="1011" t="s">
        <v>2520</v>
      </c>
      <c r="F1083" s="1001" t="s">
        <v>2845</v>
      </c>
      <c r="G1083" s="1001"/>
      <c r="H1083" s="1001"/>
      <c r="I1083" s="1001"/>
      <c r="J1083" s="1001"/>
      <c r="K1083" s="1001"/>
      <c r="L1083" s="1001"/>
      <c r="M1083" s="1001"/>
      <c r="O1083" s="1011" t="s">
        <v>2520</v>
      </c>
      <c r="P1083" s="1010" t="str">
        <f>'Part VIII-Threshold Criteria'!P174</f>
        <v>Yes</v>
      </c>
      <c r="Q1083" s="1010">
        <f>'Part VIII-Threshold Criteria'!Q174</f>
        <v>0</v>
      </c>
    </row>
    <row r="1084" spans="1:17">
      <c r="A1084" s="1007"/>
      <c r="B1084" s="987"/>
      <c r="C1084" s="1001"/>
      <c r="D1084" s="1001"/>
      <c r="E1084" s="1008" t="s">
        <v>1658</v>
      </c>
      <c r="F1084" s="1583" t="s">
        <v>2846</v>
      </c>
      <c r="G1084" s="1583"/>
      <c r="H1084" s="1583"/>
      <c r="I1084" s="1583"/>
      <c r="J1084" s="1583"/>
      <c r="K1084" s="1583"/>
      <c r="L1084" s="1583"/>
      <c r="M1084" s="1583"/>
      <c r="N1084" s="1583"/>
      <c r="O1084" s="1008" t="s">
        <v>1658</v>
      </c>
      <c r="P1084" s="1010" t="str">
        <f>'Part VIII-Threshold Criteria'!P175</f>
        <v>Yes</v>
      </c>
      <c r="Q1084" s="1010">
        <f>'Part VIII-Threshold Criteria'!Q175</f>
        <v>0</v>
      </c>
    </row>
    <row r="1085" spans="1:17">
      <c r="B1085" s="987" t="s">
        <v>2254</v>
      </c>
      <c r="C1085" s="1583" t="s">
        <v>2847</v>
      </c>
      <c r="D1085" s="1583"/>
      <c r="E1085" s="1583"/>
      <c r="F1085" s="1583"/>
      <c r="G1085" s="1583"/>
      <c r="H1085" s="1583"/>
      <c r="I1085" s="1583"/>
      <c r="J1085" s="1583"/>
      <c r="K1085" s="1583"/>
      <c r="L1085" s="1583"/>
      <c r="M1085" s="1583"/>
      <c r="N1085" s="1583"/>
      <c r="O1085" s="1008" t="s">
        <v>2254</v>
      </c>
      <c r="P1085" s="1010" t="str">
        <f>'Part VIII-Threshold Criteria'!P176</f>
        <v>Yes</v>
      </c>
      <c r="Q1085" s="1010">
        <f>'Part VIII-Threshold Criteria'!Q176</f>
        <v>0</v>
      </c>
    </row>
    <row r="1086" spans="1:17">
      <c r="B1086" s="987" t="s">
        <v>1858</v>
      </c>
      <c r="C1086" s="1001" t="s">
        <v>2536</v>
      </c>
      <c r="D1086" s="1001"/>
      <c r="E1086" s="1001"/>
      <c r="F1086" s="1001"/>
      <c r="G1086" s="1001"/>
      <c r="H1086" s="1001"/>
      <c r="I1086" s="1001"/>
      <c r="J1086" s="1001"/>
      <c r="K1086" s="1001"/>
      <c r="L1086" s="1001"/>
      <c r="M1086" s="1001"/>
      <c r="O1086" s="1008" t="s">
        <v>1858</v>
      </c>
      <c r="P1086" s="1010" t="str">
        <f>'Part VIII-Threshold Criteria'!P177</f>
        <v>Yes</v>
      </c>
      <c r="Q1086" s="1010">
        <f>'Part VIII-Threshold Criteria'!Q177</f>
        <v>0</v>
      </c>
    </row>
    <row r="1087" spans="1:17">
      <c r="B1087" s="1003" t="s">
        <v>1996</v>
      </c>
      <c r="D1087" s="1003"/>
      <c r="E1087" s="1003"/>
      <c r="F1087" s="1003"/>
      <c r="G1087" s="1003"/>
      <c r="H1087" s="988"/>
      <c r="I1087" s="985"/>
      <c r="J1087" s="985"/>
      <c r="K1087" s="985"/>
      <c r="L1087" s="940"/>
      <c r="M1087" s="940"/>
      <c r="N1087" s="940"/>
      <c r="O1087" s="940"/>
      <c r="P1087" s="940"/>
      <c r="Q1087" s="940"/>
    </row>
    <row r="1088" spans="1:17">
      <c r="A1088" s="1583" t="str">
        <f>'Part VIII-Threshold Criteria'!A179</f>
        <v>the zoning verification letter from the authorized local government official is located at Binder Tab 10 Zoning and Electronic Folder 10Zoning.</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1997</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2858</v>
      </c>
      <c r="C1092" s="935"/>
      <c r="D1092" s="994"/>
      <c r="E1092" s="1012"/>
      <c r="F1092" s="1012"/>
      <c r="G1092" s="994"/>
      <c r="J1092" s="1005"/>
      <c r="K1092" s="1005"/>
      <c r="L1092" s="1005"/>
      <c r="M1092" s="1005"/>
      <c r="N1092" s="1005"/>
      <c r="O1092" s="986" t="s">
        <v>1998</v>
      </c>
      <c r="P1092" s="1591">
        <f>'Part VIII-Threshold Criteria'!P183</f>
        <v>0</v>
      </c>
      <c r="Q1092" s="1591"/>
    </row>
    <row r="1093" spans="1:17">
      <c r="A1093" s="997"/>
      <c r="B1093" s="990" t="s">
        <v>2119</v>
      </c>
      <c r="C1093" s="1583" t="s">
        <v>100</v>
      </c>
      <c r="D1093" s="1583"/>
      <c r="E1093" s="1583"/>
      <c r="F1093" s="1583"/>
      <c r="G1093" s="1583"/>
      <c r="H1093" s="989" t="s">
        <v>1860</v>
      </c>
      <c r="I1093" s="583" t="s">
        <v>159</v>
      </c>
      <c r="K1093" s="1618" t="str">
        <f>'Part VIII-Threshold Criteria'!K184</f>
        <v>Atlanta Gas Light</v>
      </c>
      <c r="L1093" s="1618"/>
      <c r="M1093" s="1618"/>
      <c r="N1093" s="1618"/>
      <c r="O1093" s="989" t="s">
        <v>1860</v>
      </c>
      <c r="P1093" s="1010" t="str">
        <f>'Part VIII-Threshold Criteria'!P184</f>
        <v>Yes</v>
      </c>
      <c r="Q1093" s="1010">
        <f>'Part VIII-Threshold Criteria'!Q184</f>
        <v>0</v>
      </c>
    </row>
    <row r="1094" spans="1:17">
      <c r="A1094" s="997"/>
      <c r="B1094" s="985"/>
      <c r="C1094" s="1120"/>
      <c r="D1094" s="1120"/>
      <c r="E1094" s="1120"/>
      <c r="F1094" s="1120"/>
      <c r="H1094" s="989" t="s">
        <v>1861</v>
      </c>
      <c r="I1094" s="583" t="s">
        <v>1705</v>
      </c>
      <c r="K1094" s="1618" t="str">
        <f>'Part VIII-Threshold Criteria'!K185</f>
        <v>Georgia Power</v>
      </c>
      <c r="L1094" s="1618"/>
      <c r="M1094" s="1618"/>
      <c r="N1094" s="1618"/>
      <c r="O1094" s="989" t="s">
        <v>1861</v>
      </c>
      <c r="P1094" s="1010" t="str">
        <f>'Part VIII-Threshold Criteria'!P185</f>
        <v>Yes</v>
      </c>
      <c r="Q1094" s="1010">
        <f>'Part VIII-Threshold Criteria'!Q185</f>
        <v>0</v>
      </c>
    </row>
    <row r="1095" spans="1:17">
      <c r="B1095" s="1003" t="s">
        <v>1996</v>
      </c>
      <c r="D1095" s="1003"/>
      <c r="E1095" s="1003"/>
      <c r="F1095" s="1003"/>
      <c r="G1095" s="1003"/>
      <c r="J1095" s="985"/>
      <c r="K1095" s="985"/>
      <c r="L1095" s="940"/>
      <c r="M1095" s="940"/>
      <c r="N1095" s="940"/>
      <c r="O1095" s="940"/>
      <c r="P1095" s="940"/>
      <c r="Q1095" s="940"/>
    </row>
    <row r="1096" spans="1:17">
      <c r="A1096" s="1583" t="str">
        <f>'Part VIII-Threshold Criteria'!A187</f>
        <v>The letters from the approvpirate ultility company are located at Binder Tab 11 Utilities and Electronic Folder 11Utilities.</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1997</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2859</v>
      </c>
      <c r="C1100" s="585"/>
      <c r="D1100" s="984"/>
      <c r="E1100" s="984"/>
      <c r="F1100" s="984"/>
      <c r="G1100" s="994"/>
      <c r="H1100" s="994"/>
      <c r="I1100" s="994"/>
      <c r="J1100" s="994"/>
      <c r="K1100" s="994"/>
      <c r="L1100" s="994"/>
      <c r="M1100" s="994"/>
      <c r="O1100" s="986" t="s">
        <v>1998</v>
      </c>
      <c r="P1100" s="1591">
        <f>'Part VIII-Threshold Criteria'!P191</f>
        <v>0</v>
      </c>
      <c r="Q1100" s="1591"/>
    </row>
    <row r="1102" spans="1:17">
      <c r="B1102" s="987" t="s">
        <v>2119</v>
      </c>
      <c r="C1102" s="998" t="s">
        <v>1860</v>
      </c>
      <c r="D1102" s="1013" t="s">
        <v>548</v>
      </c>
      <c r="E1102" s="1013"/>
      <c r="F1102" s="1013"/>
      <c r="G1102" s="1013"/>
      <c r="H1102" s="1013"/>
      <c r="I1102" s="1013"/>
      <c r="J1102" s="1013"/>
      <c r="K1102" s="1013"/>
      <c r="L1102" s="1013"/>
      <c r="M1102" s="1013"/>
      <c r="N1102" s="1013"/>
      <c r="O1102" s="1008" t="s">
        <v>1589</v>
      </c>
      <c r="P1102" s="1010" t="str">
        <f>'Part VIII-Threshold Criteria'!P193</f>
        <v>No</v>
      </c>
      <c r="Q1102" s="1010">
        <f>'Part VIII-Threshold Criteria'!Q193</f>
        <v>0</v>
      </c>
    </row>
    <row r="1103" spans="1:17">
      <c r="B1103" s="987"/>
      <c r="C1103" s="998" t="s">
        <v>1861</v>
      </c>
      <c r="D1103" s="1013" t="s">
        <v>1566</v>
      </c>
      <c r="E1103" s="1013"/>
      <c r="F1103" s="1013"/>
      <c r="G1103" s="1013"/>
      <c r="H1103" s="1013"/>
      <c r="I1103" s="1013"/>
      <c r="J1103" s="1013"/>
      <c r="K1103" s="1013"/>
      <c r="L1103" s="1013"/>
      <c r="M1103" s="1013"/>
      <c r="N1103" s="1013"/>
      <c r="O1103" s="1008" t="s">
        <v>1861</v>
      </c>
      <c r="P1103" s="1010">
        <f>'Part VIII-Threshold Criteria'!P194</f>
        <v>0</v>
      </c>
      <c r="Q1103" s="1010">
        <f>'Part VIII-Threshold Criteria'!Q194</f>
        <v>0</v>
      </c>
    </row>
    <row r="1104" spans="1:17">
      <c r="A1104" s="997"/>
      <c r="B1104" s="987" t="s">
        <v>2122</v>
      </c>
      <c r="C1104" s="1583" t="s">
        <v>1979</v>
      </c>
      <c r="D1104" s="1583"/>
      <c r="E1104" s="1583"/>
      <c r="F1104" s="1583"/>
      <c r="G1104" s="1583"/>
      <c r="H1104" s="989" t="s">
        <v>1860</v>
      </c>
      <c r="I1104" s="583" t="s">
        <v>677</v>
      </c>
      <c r="K1104" s="1618" t="str">
        <f>'Part VIII-Threshold Criteria'!K195</f>
        <v>Macon Water Authority</v>
      </c>
      <c r="L1104" s="1618"/>
      <c r="M1104" s="1618"/>
      <c r="N1104" s="1618"/>
      <c r="O1104" s="989" t="s">
        <v>1543</v>
      </c>
      <c r="P1104" s="1010" t="str">
        <f>'Part VIII-Threshold Criteria'!P195</f>
        <v>Yes</v>
      </c>
      <c r="Q1104" s="1010">
        <f>'Part VIII-Threshold Criteria'!Q195</f>
        <v>0</v>
      </c>
    </row>
    <row r="1105" spans="1:17">
      <c r="A1105" s="997"/>
      <c r="B1105" s="603"/>
      <c r="C1105" s="1583"/>
      <c r="D1105" s="1583"/>
      <c r="E1105" s="1583"/>
      <c r="F1105" s="1583"/>
      <c r="G1105" s="1583"/>
      <c r="H1105" s="989" t="s">
        <v>1861</v>
      </c>
      <c r="I1105" s="583" t="s">
        <v>119</v>
      </c>
      <c r="K1105" s="1618" t="str">
        <f>'Part VIII-Threshold Criteria'!K196</f>
        <v>Macon Water Authority</v>
      </c>
      <c r="L1105" s="1618"/>
      <c r="M1105" s="1618"/>
      <c r="N1105" s="1618"/>
      <c r="O1105" s="989" t="s">
        <v>1861</v>
      </c>
      <c r="P1105" s="1010" t="str">
        <f>'Part VIII-Threshold Criteria'!P196</f>
        <v>Yes</v>
      </c>
      <c r="Q1105" s="1010">
        <f>'Part VIII-Threshold Criteria'!Q196</f>
        <v>0</v>
      </c>
    </row>
    <row r="1106" spans="1:17">
      <c r="B1106" s="1003" t="s">
        <v>1996</v>
      </c>
      <c r="D1106" s="1003"/>
      <c r="E1106" s="1003"/>
      <c r="F1106" s="1003"/>
      <c r="G1106" s="1003"/>
      <c r="H1106" s="988"/>
      <c r="I1106" s="985"/>
      <c r="J1106" s="985"/>
      <c r="K1106" s="985"/>
      <c r="L1106" s="940"/>
      <c r="M1106" s="940"/>
      <c r="N1106" s="940"/>
      <c r="O1106" s="940"/>
      <c r="P1106" s="940"/>
      <c r="Q1106" s="940"/>
    </row>
    <row r="1107" spans="1:17">
      <c r="A1107" s="1583" t="str">
        <f>'Part VIII-Threshold Criteria'!A198</f>
        <v>Letters from the appropriate water/sanitary sewer company is located at Binder Tab 12 Water and Sewer and Electronic Folder 12WtrSwr.</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1997</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2860</v>
      </c>
      <c r="C1111" s="585"/>
      <c r="D1111" s="984"/>
      <c r="E1111" s="984"/>
      <c r="F1111" s="984"/>
      <c r="G1111" s="984"/>
      <c r="H1111" s="994"/>
      <c r="I1111" s="994"/>
      <c r="J1111" s="994"/>
      <c r="K1111" s="994"/>
      <c r="L1111" s="994"/>
      <c r="M1111" s="994"/>
      <c r="O1111" s="986" t="s">
        <v>1998</v>
      </c>
      <c r="P1111" s="1591">
        <f>'Part VIII-Threshold Criteria'!P202</f>
        <v>0</v>
      </c>
      <c r="Q1111" s="1591"/>
    </row>
    <row r="1112" spans="1:17">
      <c r="B1112" s="565" t="s">
        <v>150</v>
      </c>
    </row>
    <row r="1113" spans="1:17">
      <c r="B1113" s="990" t="s">
        <v>2119</v>
      </c>
      <c r="C1113" s="583" t="s">
        <v>3268</v>
      </c>
      <c r="D1113" s="582"/>
      <c r="E1113" s="583"/>
      <c r="F1113" s="583"/>
      <c r="G1113" s="583"/>
      <c r="H1113" s="583"/>
      <c r="I1113" s="582"/>
      <c r="J1113" s="582"/>
      <c r="K1113" s="582"/>
      <c r="L1113" s="1001"/>
      <c r="M1113" s="1001"/>
      <c r="O1113" s="1008" t="s">
        <v>2119</v>
      </c>
      <c r="P1113" s="1010" t="str">
        <f>'Part VIII-Threshold Criteria'!P204</f>
        <v>Yes</v>
      </c>
      <c r="Q1113" s="1010">
        <f>'Part VIII-Threshold Criteria'!Q204</f>
        <v>0</v>
      </c>
    </row>
    <row r="1114" spans="1:17">
      <c r="B1114" s="990"/>
      <c r="C1114" s="583"/>
      <c r="D1114" s="583" t="s">
        <v>3580</v>
      </c>
      <c r="E1114" s="583"/>
      <c r="F1114" s="583"/>
      <c r="G1114" s="1121">
        <f>'Part VIII-Threshold Criteria'!G205</f>
        <v>41421</v>
      </c>
      <c r="H1114" s="583"/>
      <c r="I1114" s="583" t="s">
        <v>3581</v>
      </c>
      <c r="J1114" s="582"/>
      <c r="K1114" s="1121">
        <f>'Part VIII-Threshold Criteria'!K205</f>
        <v>41793</v>
      </c>
      <c r="M1114" s="1001"/>
    </row>
    <row r="1115" spans="1:17">
      <c r="B1115" s="990"/>
      <c r="C1115" s="583"/>
      <c r="D1115" s="565" t="s">
        <v>3582</v>
      </c>
      <c r="E1115" s="583"/>
      <c r="F1115" s="583"/>
      <c r="G1115" s="1618" t="str">
        <f>'Part VIII-Threshold Criteria'!G206</f>
        <v>Macon Telegraph</v>
      </c>
      <c r="H1115" s="1618"/>
      <c r="I1115" s="1618"/>
      <c r="J1115" s="1618"/>
      <c r="K1115" s="1618"/>
      <c r="L1115" s="583"/>
      <c r="M1115" s="583"/>
      <c r="N1115" s="583"/>
      <c r="O1115" s="583"/>
      <c r="P1115" s="583"/>
    </row>
    <row r="1116" spans="1:17">
      <c r="B1116" s="990" t="s">
        <v>2122</v>
      </c>
      <c r="C1116" s="583" t="s">
        <v>3269</v>
      </c>
      <c r="D1116" s="583"/>
      <c r="E1116" s="583"/>
      <c r="F1116" s="583"/>
      <c r="G1116" s="583"/>
      <c r="H1116" s="583"/>
      <c r="I1116" s="582"/>
      <c r="J1116" s="582"/>
      <c r="K1116" s="582"/>
      <c r="L1116" s="996"/>
      <c r="M1116" s="996"/>
      <c r="O1116" s="1008" t="s">
        <v>2122</v>
      </c>
      <c r="P1116" s="1010" t="str">
        <f>'Part VIII-Threshold Criteria'!P207</f>
        <v>Yes</v>
      </c>
      <c r="Q1116" s="1010">
        <f>'Part VIII-Threshold Criteria'!Q207</f>
        <v>0</v>
      </c>
    </row>
    <row r="1117" spans="1:17">
      <c r="B1117" s="990" t="s">
        <v>800</v>
      </c>
      <c r="C1117" s="583" t="s">
        <v>3270</v>
      </c>
      <c r="D1117" s="583"/>
      <c r="E1117" s="583"/>
      <c r="F1117" s="583"/>
      <c r="G1117" s="583"/>
      <c r="H1117" s="583"/>
      <c r="I1117" s="582"/>
      <c r="J1117" s="582"/>
      <c r="K1117" s="582"/>
      <c r="L1117" s="996"/>
      <c r="M1117" s="996"/>
      <c r="O1117" s="1008" t="s">
        <v>800</v>
      </c>
      <c r="P1117" s="1010" t="str">
        <f>'Part VIII-Threshold Criteria'!P208</f>
        <v>Yes</v>
      </c>
      <c r="Q1117" s="1010">
        <f>'Part VIII-Threshold Criteria'!Q208</f>
        <v>0</v>
      </c>
    </row>
    <row r="1118" spans="1:17">
      <c r="B1118" s="990" t="s">
        <v>2254</v>
      </c>
      <c r="C1118" s="583" t="s">
        <v>3577</v>
      </c>
      <c r="D1118" s="583"/>
      <c r="E1118" s="583"/>
      <c r="F1118" s="583"/>
      <c r="G1118" s="583"/>
      <c r="H1118" s="583"/>
      <c r="I1118" s="582"/>
      <c r="J1118" s="582"/>
      <c r="K1118" s="582"/>
      <c r="L1118" s="1001"/>
      <c r="M1118" s="1001"/>
      <c r="O1118" s="989" t="s">
        <v>2254</v>
      </c>
      <c r="P1118" s="1010" t="str">
        <f>'Part VIII-Threshold Criteria'!P209</f>
        <v>Yes</v>
      </c>
      <c r="Q1118" s="1010">
        <f>'Part VIII-Threshold Criteria'!Q209</f>
        <v>0</v>
      </c>
    </row>
    <row r="1119" spans="1:17">
      <c r="B1119" s="990" t="s">
        <v>1858</v>
      </c>
      <c r="C1119" s="583" t="s">
        <v>151</v>
      </c>
      <c r="D1119" s="583"/>
      <c r="E1119" s="583"/>
      <c r="F1119" s="583"/>
      <c r="G1119" s="583"/>
      <c r="H1119" s="583"/>
      <c r="I1119" s="582"/>
      <c r="J1119" s="582"/>
      <c r="K1119" s="582"/>
      <c r="L1119" s="582"/>
      <c r="M1119" s="582"/>
      <c r="O1119" s="989" t="s">
        <v>1858</v>
      </c>
      <c r="P1119" s="1010" t="str">
        <f>'Part VIII-Threshold Criteria'!P210</f>
        <v>Yes</v>
      </c>
      <c r="Q1119" s="1010">
        <f>'Part VIII-Threshold Criteria'!Q210</f>
        <v>0</v>
      </c>
    </row>
    <row r="1120" spans="1:17">
      <c r="B1120" s="1003" t="s">
        <v>1996</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The Macon-Bibb county commissioners allowed several presentation starting on April 22, 2014 to the Commissioners Committee.  The meeting are advertised on their website and carried by the local TV 13 news station.  Evidence of the public meetings and local government support is located at Binder Tab 13 Local Govt adn Electronic Folder 13LocalGvt.</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1997</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2861</v>
      </c>
      <c r="C1126" s="1004"/>
      <c r="D1126" s="994"/>
      <c r="E1126" s="994"/>
      <c r="F1126" s="994"/>
      <c r="G1126" s="994"/>
      <c r="H1126" s="994"/>
      <c r="I1126" s="994"/>
      <c r="J1126" s="994"/>
      <c r="K1126" s="994"/>
      <c r="L1126" s="994"/>
      <c r="M1126" s="994"/>
      <c r="O1126" s="986" t="s">
        <v>1998</v>
      </c>
      <c r="P1126" s="1591">
        <f>'Part VIII-Threshold Criteria'!P217</f>
        <v>0</v>
      </c>
      <c r="Q1126" s="1591"/>
    </row>
    <row r="1127" spans="1:17">
      <c r="B1127" s="565" t="s">
        <v>1265</v>
      </c>
      <c r="N1127" s="834"/>
      <c r="P1127" s="1010" t="str">
        <f>'Part VIII-Threshold Criteria'!P218</f>
        <v>No</v>
      </c>
      <c r="Q1127" s="1010">
        <f>'Part VIII-Threshold Criteria'!Q218</f>
        <v>0</v>
      </c>
    </row>
    <row r="1128" spans="1:17">
      <c r="B1128" s="990" t="s">
        <v>2119</v>
      </c>
      <c r="C1128" s="984" t="s">
        <v>1469</v>
      </c>
      <c r="D1128" s="582"/>
      <c r="E1128" s="582"/>
      <c r="F1128" s="582"/>
      <c r="G1128" s="582"/>
      <c r="H1128" s="582"/>
      <c r="I1128" s="582"/>
      <c r="J1128" s="582"/>
      <c r="K1128" s="582"/>
      <c r="L1128" s="582"/>
      <c r="M1128" s="582"/>
    </row>
    <row r="1129" spans="1:17">
      <c r="B1129" s="990"/>
      <c r="C1129" s="989" t="s">
        <v>1860</v>
      </c>
      <c r="D1129" s="583" t="s">
        <v>2066</v>
      </c>
      <c r="E1129" s="583"/>
      <c r="F1129" s="583"/>
      <c r="G1129" s="583"/>
      <c r="H1129" s="583"/>
      <c r="I1129" s="582"/>
      <c r="K1129" s="989" t="s">
        <v>1589</v>
      </c>
      <c r="L1129" s="1618" t="str">
        <f>'Part VIII-Threshold Criteria'!L220</f>
        <v>Building</v>
      </c>
      <c r="M1129" s="1618"/>
      <c r="Q1129" s="1010">
        <f>'Part VIII-Threshold Criteria'!Q220</f>
        <v>0</v>
      </c>
    </row>
    <row r="1130" spans="1:17" ht="13.5">
      <c r="B1130" s="990"/>
      <c r="C1130" s="989" t="s">
        <v>1861</v>
      </c>
      <c r="D1130" s="988" t="s">
        <v>2979</v>
      </c>
      <c r="E1130" s="988"/>
      <c r="F1130" s="988"/>
      <c r="G1130" s="988"/>
      <c r="H1130" s="988"/>
      <c r="I1130" s="582"/>
      <c r="K1130" s="989" t="s">
        <v>1590</v>
      </c>
      <c r="L1130" s="1618" t="str">
        <f>'Part VIII-Threshold Criteria'!L221</f>
        <v>Gazebo</v>
      </c>
      <c r="M1130" s="1618"/>
      <c r="N1130" s="1733" t="str">
        <f>'Part VIII-Threshold Criteria'!N221</f>
        <v>If "Other", explain here</v>
      </c>
      <c r="O1130" s="1733"/>
      <c r="P1130" s="1733"/>
      <c r="Q1130" s="1010">
        <f>'Part VIII-Threshold Criteria'!Q221</f>
        <v>0</v>
      </c>
    </row>
    <row r="1131" spans="1:17">
      <c r="B1131" s="990"/>
      <c r="C1131" s="989" t="s">
        <v>1862</v>
      </c>
      <c r="D1131" s="988" t="s">
        <v>592</v>
      </c>
      <c r="E1131" s="988"/>
      <c r="F1131" s="988"/>
      <c r="G1131" s="988"/>
      <c r="H1131" s="988"/>
      <c r="I1131" s="582"/>
      <c r="K1131" s="989" t="s">
        <v>1591</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2122</v>
      </c>
      <c r="C1133" s="984" t="s">
        <v>2681</v>
      </c>
      <c r="D1133" s="583"/>
      <c r="E1133" s="583"/>
      <c r="F1133" s="583"/>
      <c r="G1133" s="583"/>
      <c r="H1133" s="583"/>
      <c r="I1133" s="583"/>
      <c r="J1133" s="583"/>
      <c r="K1133" s="582"/>
      <c r="L1133" s="582"/>
      <c r="M1133" s="582"/>
      <c r="N1133" s="582"/>
      <c r="O1133" s="989" t="s">
        <v>2122</v>
      </c>
      <c r="P1133" s="1010" t="str">
        <f>'Part VIII-Threshold Criteria'!P224</f>
        <v>Agree</v>
      </c>
      <c r="Q1133" s="1010">
        <f>'Part VIII-Threshold Criteria'!Q224</f>
        <v>0</v>
      </c>
    </row>
    <row r="1134" spans="1:17">
      <c r="B1134" s="990"/>
      <c r="C1134" s="583" t="s">
        <v>3682</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826</v>
      </c>
      <c r="J1135" s="857" t="s">
        <v>827</v>
      </c>
      <c r="L1135" s="583" t="s">
        <v>2981</v>
      </c>
      <c r="M1135" s="582"/>
      <c r="N1135" s="582"/>
      <c r="O1135" s="1014"/>
      <c r="P1135" s="1015" t="s">
        <v>826</v>
      </c>
      <c r="Q1135" s="857" t="s">
        <v>827</v>
      </c>
    </row>
    <row r="1136" spans="1:17">
      <c r="A1136" s="582"/>
      <c r="B1136" s="1010"/>
      <c r="C1136" s="989" t="s">
        <v>1860</v>
      </c>
      <c r="D1136" s="1583" t="str">
        <f>'Part VIII-Threshold Criteria'!D227</f>
        <v>Equipped Playground</v>
      </c>
      <c r="E1136" s="1583"/>
      <c r="F1136" s="1583"/>
      <c r="G1136" s="1583"/>
      <c r="H1136" s="1583"/>
      <c r="I1136" s="1010">
        <f>'Part VIII-Threshold Criteria'!I227</f>
        <v>0</v>
      </c>
      <c r="J1136" s="1010">
        <f>'Part VIII-Threshold Criteria'!J227</f>
        <v>0</v>
      </c>
      <c r="K1136" s="989" t="s">
        <v>1862</v>
      </c>
      <c r="L1136" s="1583" t="str">
        <f>'Part VIII-Threshold Criteria'!L227</f>
        <v>Equipped computer center</v>
      </c>
      <c r="M1136" s="1583"/>
      <c r="N1136" s="1583"/>
      <c r="O1136" s="1583"/>
      <c r="P1136" s="1010">
        <f>'Part VIII-Threshold Criteria'!P227</f>
        <v>0</v>
      </c>
      <c r="Q1136" s="1010">
        <f>'Part VIII-Threshold Criteria'!Q227</f>
        <v>0</v>
      </c>
    </row>
    <row r="1137" spans="1:17">
      <c r="A1137" s="582"/>
      <c r="B1137" s="1010"/>
      <c r="C1137" s="989" t="s">
        <v>1861</v>
      </c>
      <c r="D1137" s="1583" t="str">
        <f>'Part VIII-Threshold Criteria'!D228</f>
        <v>Covered pavillion with picnic and bbq facilities</v>
      </c>
      <c r="E1137" s="1583"/>
      <c r="F1137" s="1583"/>
      <c r="G1137" s="1583"/>
      <c r="H1137" s="1583"/>
      <c r="I1137" s="1010">
        <f>'Part VIII-Threshold Criteria'!I228</f>
        <v>0</v>
      </c>
      <c r="J1137" s="1010">
        <f>'Part VIII-Threshold Criteria'!J228</f>
        <v>0</v>
      </c>
      <c r="K1137" s="989" t="s">
        <v>2520</v>
      </c>
      <c r="L1137" s="1583" t="str">
        <f>'Part VIII-Threshold Criteria'!L228</f>
        <v>furnished exercise/fitness center</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800</v>
      </c>
      <c r="C1139" s="984" t="s">
        <v>1470</v>
      </c>
      <c r="D1139" s="583"/>
      <c r="E1139" s="583"/>
      <c r="F1139" s="583"/>
      <c r="G1139" s="583"/>
      <c r="H1139" s="583"/>
      <c r="I1139" s="583"/>
      <c r="J1139" s="583"/>
      <c r="K1139" s="582"/>
      <c r="L1139" s="583"/>
      <c r="M1139" s="583"/>
      <c r="O1139" s="989" t="s">
        <v>800</v>
      </c>
      <c r="P1139" s="1010" t="str">
        <f>'Part VIII-Threshold Criteria'!P230</f>
        <v>Agree</v>
      </c>
      <c r="Q1139" s="1010">
        <f>'Part VIII-Threshold Criteria'!Q230</f>
        <v>0</v>
      </c>
    </row>
    <row r="1140" spans="1:17">
      <c r="B1140" s="990"/>
      <c r="C1140" s="989" t="s">
        <v>1860</v>
      </c>
      <c r="D1140" s="583" t="s">
        <v>160</v>
      </c>
      <c r="E1140" s="583"/>
      <c r="F1140" s="583"/>
      <c r="G1140" s="583"/>
      <c r="H1140" s="583"/>
      <c r="I1140" s="582"/>
      <c r="J1140" s="582"/>
      <c r="K1140" s="582"/>
      <c r="L1140" s="582"/>
      <c r="M1140" s="582"/>
      <c r="O1140" s="989" t="s">
        <v>1860</v>
      </c>
      <c r="P1140" s="1010" t="str">
        <f>'Part VIII-Threshold Criteria'!P231</f>
        <v>Yes</v>
      </c>
      <c r="Q1140" s="1010">
        <f>'Part VIII-Threshold Criteria'!Q231</f>
        <v>0</v>
      </c>
    </row>
    <row r="1141" spans="1:17">
      <c r="C1141" s="989" t="s">
        <v>1861</v>
      </c>
      <c r="D1141" s="988" t="s">
        <v>3271</v>
      </c>
      <c r="E1141" s="988"/>
      <c r="F1141" s="988"/>
      <c r="G1141" s="988"/>
      <c r="H1141" s="988"/>
      <c r="I1141" s="582"/>
      <c r="J1141" s="582"/>
      <c r="K1141" s="582"/>
      <c r="L1141" s="582"/>
      <c r="M1141" s="582"/>
      <c r="O1141" s="989" t="s">
        <v>1861</v>
      </c>
      <c r="P1141" s="1010" t="str">
        <f>'Part VIII-Threshold Criteria'!P232</f>
        <v>Yes</v>
      </c>
      <c r="Q1141" s="1010">
        <f>'Part VIII-Threshold Criteria'!Q232</f>
        <v>0</v>
      </c>
    </row>
    <row r="1142" spans="1:17">
      <c r="C1142" s="989" t="s">
        <v>1862</v>
      </c>
      <c r="D1142" s="988" t="s">
        <v>3272</v>
      </c>
      <c r="E1142" s="988"/>
      <c r="F1142" s="988"/>
      <c r="G1142" s="988"/>
      <c r="H1142" s="988"/>
      <c r="I1142" s="582"/>
      <c r="J1142" s="582"/>
      <c r="K1142" s="582"/>
      <c r="L1142" s="582"/>
      <c r="M1142" s="582"/>
      <c r="O1142" s="989" t="s">
        <v>1862</v>
      </c>
      <c r="P1142" s="1010" t="str">
        <f>'Part VIII-Threshold Criteria'!P233</f>
        <v>Yes</v>
      </c>
      <c r="Q1142" s="1010">
        <f>'Part VIII-Threshold Criteria'!Q233</f>
        <v>0</v>
      </c>
    </row>
    <row r="1143" spans="1:17">
      <c r="B1143" s="990"/>
      <c r="C1143" s="989" t="s">
        <v>2520</v>
      </c>
      <c r="D1143" s="988" t="s">
        <v>3273</v>
      </c>
      <c r="E1143" s="988"/>
      <c r="F1143" s="988"/>
      <c r="G1143" s="988"/>
      <c r="H1143" s="988"/>
      <c r="I1143" s="582"/>
      <c r="J1143" s="582"/>
      <c r="K1143" s="582"/>
      <c r="L1143" s="582"/>
      <c r="M1143" s="582"/>
      <c r="O1143" s="989" t="s">
        <v>2520</v>
      </c>
      <c r="P1143" s="1010" t="str">
        <f>'Part VIII-Threshold Criteria'!P234</f>
        <v>Yes</v>
      </c>
      <c r="Q1143" s="1010">
        <f>'Part VIII-Threshold Criteria'!Q234</f>
        <v>0</v>
      </c>
    </row>
    <row r="1144" spans="1:17">
      <c r="B1144" s="990"/>
      <c r="C1144" s="989" t="s">
        <v>1658</v>
      </c>
      <c r="D1144" s="988" t="s">
        <v>3274</v>
      </c>
      <c r="E1144" s="988"/>
      <c r="F1144" s="988"/>
      <c r="G1144" s="988"/>
      <c r="H1144" s="988"/>
      <c r="I1144" s="582"/>
      <c r="J1144" s="582"/>
      <c r="K1144" s="582"/>
      <c r="L1144" s="582"/>
      <c r="M1144" s="582"/>
      <c r="O1144" s="989" t="s">
        <v>1658</v>
      </c>
      <c r="P1144" s="1010" t="str">
        <f>'Part VIII-Threshold Criteria'!P235</f>
        <v>Yes</v>
      </c>
      <c r="Q1144" s="1010">
        <f>'Part VIII-Threshold Criteria'!Q235</f>
        <v>0</v>
      </c>
    </row>
    <row r="1145" spans="1:17">
      <c r="B1145" s="990"/>
      <c r="C1145" s="989" t="s">
        <v>1659</v>
      </c>
      <c r="D1145" s="583" t="s">
        <v>828</v>
      </c>
      <c r="E1145" s="583"/>
      <c r="F1145" s="583"/>
      <c r="G1145" s="583"/>
      <c r="H1145" s="583"/>
      <c r="I1145" s="582"/>
      <c r="J1145" s="582"/>
      <c r="K1145" s="582"/>
      <c r="L1145" s="582"/>
      <c r="M1145" s="582"/>
      <c r="O1145" s="989" t="s">
        <v>3257</v>
      </c>
      <c r="P1145" s="1010" t="str">
        <f>'Part VIII-Threshold Criteria'!P236</f>
        <v>Yes</v>
      </c>
      <c r="Q1145" s="1010">
        <f>'Part VIII-Threshold Criteria'!Q236</f>
        <v>0</v>
      </c>
    </row>
    <row r="1146" spans="1:17">
      <c r="B1146" s="990"/>
      <c r="C1146" s="989"/>
      <c r="D1146" s="583" t="s">
        <v>1592</v>
      </c>
      <c r="E1146" s="583"/>
      <c r="F1146" s="583"/>
      <c r="G1146" s="583"/>
      <c r="H1146" s="583"/>
      <c r="I1146" s="582"/>
      <c r="J1146" s="582"/>
      <c r="K1146" s="582"/>
      <c r="L1146" s="582"/>
      <c r="M1146" s="582"/>
      <c r="O1146" s="989" t="s">
        <v>3258</v>
      </c>
      <c r="P1146" s="1010" t="str">
        <f>'Part VIII-Threshold Criteria'!P237</f>
        <v>No</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2254</v>
      </c>
      <c r="C1148" s="984" t="s">
        <v>2895</v>
      </c>
      <c r="D1148" s="583"/>
      <c r="E1148" s="583"/>
      <c r="F1148" s="583"/>
      <c r="G1148" s="583"/>
      <c r="H1148" s="583"/>
      <c r="I1148" s="583"/>
      <c r="J1148" s="583"/>
      <c r="K1148" s="582"/>
      <c r="L1148" s="583"/>
      <c r="M1148" s="583"/>
      <c r="O1148" s="989" t="s">
        <v>2254</v>
      </c>
      <c r="P1148" s="1010">
        <f>'Part VIII-Threshold Criteria'!P239</f>
        <v>0</v>
      </c>
      <c r="Q1148" s="1010">
        <f>'Part VIII-Threshold Criteria'!Q239</f>
        <v>0</v>
      </c>
    </row>
    <row r="1149" spans="1:17">
      <c r="B1149" s="990"/>
      <c r="C1149" s="989" t="s">
        <v>1860</v>
      </c>
      <c r="D1149" s="583" t="s">
        <v>1334</v>
      </c>
      <c r="E1149" s="582"/>
      <c r="F1149" s="582"/>
      <c r="G1149" s="583"/>
      <c r="H1149" s="988"/>
      <c r="I1149" s="582"/>
      <c r="J1149" s="988"/>
      <c r="K1149" s="582"/>
      <c r="L1149" s="988"/>
      <c r="M1149" s="988"/>
      <c r="O1149" s="989" t="s">
        <v>1860</v>
      </c>
      <c r="P1149" s="1010">
        <f>'Part VIII-Threshold Criteria'!P240</f>
        <v>0</v>
      </c>
      <c r="Q1149" s="1010">
        <f>'Part VIII-Threshold Criteria'!Q240</f>
        <v>0</v>
      </c>
    </row>
    <row r="1150" spans="1:17">
      <c r="B1150" s="990"/>
      <c r="C1150" s="989" t="s">
        <v>1861</v>
      </c>
      <c r="D1150" s="583" t="s">
        <v>152</v>
      </c>
      <c r="E1150" s="582"/>
      <c r="F1150" s="582"/>
      <c r="G1150" s="988"/>
      <c r="H1150" s="988"/>
      <c r="I1150" s="582"/>
      <c r="J1150" s="988"/>
      <c r="K1150" s="582"/>
      <c r="L1150" s="988"/>
      <c r="M1150" s="988"/>
      <c r="O1150" s="989" t="s">
        <v>1861</v>
      </c>
      <c r="P1150" s="1010">
        <f>'Part VIII-Threshold Criteria'!P241</f>
        <v>0</v>
      </c>
      <c r="Q1150" s="1010">
        <f>'Part VIII-Threshold Criteria'!Q241</f>
        <v>0</v>
      </c>
    </row>
    <row r="1151" spans="1:17">
      <c r="B1151" s="990"/>
      <c r="C1151" s="989" t="s">
        <v>1862</v>
      </c>
      <c r="D1151" s="988" t="s">
        <v>1754</v>
      </c>
      <c r="E1151" s="582"/>
      <c r="F1151" s="582"/>
      <c r="G1151" s="988"/>
      <c r="H1151" s="988"/>
      <c r="I1151" s="582"/>
      <c r="J1151" s="988"/>
      <c r="K1151" s="582"/>
      <c r="L1151" s="988"/>
      <c r="M1151" s="988"/>
      <c r="O1151" s="989" t="s">
        <v>2526</v>
      </c>
      <c r="P1151" s="1010">
        <f>'Part VIII-Threshold Criteria'!P242</f>
        <v>0</v>
      </c>
      <c r="Q1151" s="1010">
        <f>'Part VIII-Threshold Criteria'!Q242</f>
        <v>0</v>
      </c>
    </row>
    <row r="1152" spans="1:17">
      <c r="B1152" s="583"/>
      <c r="C1152" s="582"/>
      <c r="D1152" s="988" t="s">
        <v>1372</v>
      </c>
      <c r="E1152" s="582"/>
      <c r="F1152" s="582"/>
      <c r="G1152" s="988"/>
      <c r="H1152" s="988"/>
      <c r="I1152" s="582"/>
      <c r="J1152" s="988"/>
      <c r="K1152" s="582"/>
      <c r="L1152" s="988"/>
      <c r="M1152" s="988"/>
      <c r="O1152" s="989" t="s">
        <v>2527</v>
      </c>
      <c r="P1152" s="1010">
        <f>'Part VIII-Threshold Criteria'!P243</f>
        <v>0</v>
      </c>
      <c r="Q1152" s="1010">
        <f>'Part VIII-Threshold Criteria'!Q243</f>
        <v>0</v>
      </c>
    </row>
    <row r="1153" spans="1:17">
      <c r="B1153" s="1003" t="s">
        <v>1996</v>
      </c>
      <c r="D1153" s="1003"/>
      <c r="E1153" s="1003"/>
      <c r="F1153" s="1003"/>
      <c r="G1153" s="1003"/>
      <c r="H1153" s="988"/>
      <c r="I1153" s="985"/>
      <c r="J1153" s="985"/>
      <c r="K1153" s="985"/>
      <c r="L1153" s="940"/>
      <c r="M1153" s="940"/>
      <c r="N1153" s="940"/>
      <c r="O1153" s="940"/>
      <c r="P1153" s="940"/>
      <c r="Q1153" s="940"/>
    </row>
    <row r="1154" spans="1:17">
      <c r="A1154" s="1583" t="str">
        <f>'Part VIII-Threshold Criteria'!A245</f>
        <v>Required amenties are available to the residents at no additional charge.</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1997</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2862</v>
      </c>
      <c r="C1158" s="585"/>
      <c r="D1158" s="984"/>
      <c r="E1158" s="984"/>
      <c r="F1158" s="984"/>
      <c r="G1158" s="984"/>
      <c r="H1158" s="994"/>
      <c r="I1158" s="994"/>
      <c r="J1158" s="994"/>
      <c r="K1158" s="994"/>
      <c r="L1158" s="994"/>
      <c r="M1158" s="994"/>
      <c r="O1158" s="986" t="s">
        <v>1998</v>
      </c>
      <c r="P1158" s="1591">
        <f>'Part VIII-Threshold Criteria'!P249</f>
        <v>0</v>
      </c>
      <c r="Q1158" s="1591"/>
    </row>
    <row r="1160" spans="1:17">
      <c r="B1160" s="990" t="s">
        <v>2119</v>
      </c>
      <c r="C1160" s="583" t="s">
        <v>1349</v>
      </c>
      <c r="D1160" s="582"/>
      <c r="E1160" s="583"/>
      <c r="F1160" s="583"/>
      <c r="G1160" s="583"/>
      <c r="H1160" s="583"/>
      <c r="I1160" s="582"/>
      <c r="J1160" s="582"/>
      <c r="K1160" s="582"/>
      <c r="L1160" s="989" t="s">
        <v>2119</v>
      </c>
      <c r="M1160" s="1618" t="str">
        <f>'Part VIII-Threshold Criteria'!M251</f>
        <v>Substantial Gut Rehab</v>
      </c>
      <c r="N1160" s="1618"/>
      <c r="O1160" s="1618"/>
      <c r="P1160" s="1618" t="str">
        <f>'Part VIII-Threshold Criteria'!P251</f>
        <v>&lt;&lt;Select&gt;&gt;</v>
      </c>
      <c r="Q1160" s="1618"/>
    </row>
    <row r="1161" spans="1:17">
      <c r="B1161" s="990" t="s">
        <v>2122</v>
      </c>
      <c r="C1161" s="583" t="s">
        <v>3275</v>
      </c>
      <c r="D1161" s="583"/>
      <c r="E1161" s="583"/>
      <c r="F1161" s="583"/>
      <c r="G1161" s="583"/>
      <c r="H1161" s="583"/>
      <c r="I1161" s="582"/>
      <c r="J1161" s="582"/>
      <c r="K1161" s="582"/>
      <c r="L1161" s="989" t="s">
        <v>2122</v>
      </c>
      <c r="M1161" s="1724">
        <f>'Part VIII-Threshold Criteria'!M252</f>
        <v>41779</v>
      </c>
      <c r="N1161" s="1724"/>
      <c r="O1161" s="1724"/>
      <c r="P1161" s="1724">
        <f>'Part VIII-Threshold Criteria'!P252</f>
        <v>0</v>
      </c>
      <c r="Q1161" s="1724"/>
    </row>
    <row r="1162" spans="1:17">
      <c r="B1162" s="990" t="s">
        <v>800</v>
      </c>
      <c r="C1162" s="583" t="s">
        <v>2080</v>
      </c>
      <c r="D1162" s="583"/>
      <c r="E1162" s="583"/>
      <c r="F1162" s="583"/>
      <c r="G1162" s="583"/>
      <c r="H1162" s="583"/>
      <c r="I1162" s="582"/>
      <c r="J1162" s="582"/>
      <c r="K1162" s="582"/>
      <c r="L1162" s="989" t="s">
        <v>800</v>
      </c>
      <c r="M1162" s="1618" t="str">
        <f>'Part VIII-Threshold Criteria'!M253</f>
        <v>Steve Hamby - Newbanks, Inc.</v>
      </c>
      <c r="N1162" s="1618"/>
      <c r="O1162" s="1618"/>
      <c r="P1162" s="1618">
        <f>'Part VIII-Threshold Criteria'!P253</f>
        <v>0</v>
      </c>
      <c r="Q1162" s="1618"/>
    </row>
    <row r="1163" spans="1:17">
      <c r="B1163" s="990" t="s">
        <v>2254</v>
      </c>
      <c r="C1163" s="583" t="s">
        <v>2726</v>
      </c>
      <c r="D1163" s="583"/>
      <c r="E1163" s="583"/>
      <c r="F1163" s="583"/>
      <c r="G1163" s="583"/>
      <c r="H1163" s="583"/>
      <c r="I1163" s="582"/>
      <c r="J1163" s="582"/>
      <c r="K1163" s="582"/>
      <c r="L1163" s="582"/>
      <c r="M1163" s="582"/>
      <c r="O1163" s="989" t="s">
        <v>2254</v>
      </c>
      <c r="P1163" s="1010" t="str">
        <f>'Part VIII-Threshold Criteria'!P254</f>
        <v>Yes</v>
      </c>
      <c r="Q1163" s="1010">
        <f>'Part VIII-Threshold Criteria'!Q254</f>
        <v>0</v>
      </c>
    </row>
    <row r="1164" spans="1:17">
      <c r="B1164" s="987" t="s">
        <v>1858</v>
      </c>
      <c r="C1164" s="1583" t="s">
        <v>3683</v>
      </c>
      <c r="D1164" s="1583"/>
      <c r="E1164" s="1583"/>
      <c r="F1164" s="1583"/>
      <c r="G1164" s="1583"/>
      <c r="H1164" s="1583"/>
      <c r="I1164" s="1583"/>
      <c r="J1164" s="1583"/>
      <c r="K1164" s="1583"/>
      <c r="L1164" s="1583"/>
      <c r="M1164" s="1583"/>
      <c r="N1164" s="1583"/>
      <c r="O1164" s="1008" t="s">
        <v>1858</v>
      </c>
      <c r="P1164" s="1010" t="str">
        <f>'Part VIII-Threshold Criteria'!P255</f>
        <v>Agree</v>
      </c>
      <c r="Q1164" s="1010">
        <f>'Part VIII-Threshold Criteria'!Q255</f>
        <v>0</v>
      </c>
    </row>
    <row r="1165" spans="1:17">
      <c r="B1165" s="1003" t="s">
        <v>1996</v>
      </c>
      <c r="D1165" s="1003"/>
      <c r="E1165" s="1003"/>
      <c r="F1165" s="1003"/>
      <c r="G1165" s="1003"/>
      <c r="H1165" s="988"/>
      <c r="I1165" s="985"/>
      <c r="J1165" s="985"/>
      <c r="K1165" s="985"/>
      <c r="L1165" s="940"/>
      <c r="M1165" s="940"/>
      <c r="N1165" s="940"/>
      <c r="O1165" s="940"/>
      <c r="P1165" s="940"/>
      <c r="Q1165" s="940"/>
    </row>
    <row r="1166" spans="1:17">
      <c r="A1166" s="1583" t="str">
        <f>'Part VIII-Threshold Criteria'!A257</f>
        <v>The 20-year replacement reserve study is included in the PNA at Section VII. Capital Expenditure Chart (p. 30).  The Schedule of Values and Work Scope Form, Along with the PNA, are located at Binder Tab 15 RehabStds and Electronic Folder 15RehabStds.</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1997</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2863</v>
      </c>
      <c r="C1170" s="585"/>
      <c r="D1170" s="984"/>
      <c r="E1170" s="984"/>
      <c r="F1170" s="984"/>
      <c r="G1170" s="984"/>
      <c r="H1170" s="994"/>
      <c r="I1170" s="994"/>
      <c r="J1170" s="994"/>
      <c r="K1170" s="994"/>
      <c r="L1170" s="994"/>
      <c r="M1170" s="994"/>
      <c r="O1170" s="986" t="s">
        <v>1998</v>
      </c>
      <c r="P1170" s="1591">
        <f>'Part VIII-Threshold Criteria'!P261</f>
        <v>0</v>
      </c>
      <c r="Q1170" s="1591"/>
    </row>
    <row r="1172" spans="1:17">
      <c r="A1172" s="1007"/>
      <c r="B1172" s="987" t="s">
        <v>2119</v>
      </c>
      <c r="C1172" s="1583" t="s">
        <v>3276</v>
      </c>
      <c r="D1172" s="1583"/>
      <c r="E1172" s="1583"/>
      <c r="F1172" s="1583"/>
      <c r="G1172" s="1583"/>
      <c r="H1172" s="1583"/>
      <c r="I1172" s="1583"/>
      <c r="J1172" s="1583"/>
      <c r="K1172" s="1583"/>
      <c r="L1172" s="1583"/>
      <c r="M1172" s="1583"/>
      <c r="N1172" s="1583"/>
      <c r="O1172" s="1008" t="s">
        <v>2119</v>
      </c>
      <c r="P1172" s="1010" t="str">
        <f>'Part VIII-Threshold Criteria'!P263</f>
        <v>Yes</v>
      </c>
      <c r="Q1172" s="1010">
        <f>'Part VIII-Threshold Criteria'!Q263</f>
        <v>0</v>
      </c>
    </row>
    <row r="1173" spans="1:17">
      <c r="B1173" s="990" t="s">
        <v>2122</v>
      </c>
      <c r="C1173" s="583" t="s">
        <v>1496</v>
      </c>
      <c r="D1173" s="583"/>
      <c r="E1173" s="583"/>
      <c r="F1173" s="583"/>
      <c r="G1173" s="583"/>
      <c r="H1173" s="583"/>
      <c r="I1173" s="583"/>
      <c r="J1173" s="583"/>
      <c r="K1173" s="583"/>
      <c r="L1173" s="583"/>
      <c r="M1173" s="583"/>
      <c r="O1173" s="989" t="s">
        <v>2122</v>
      </c>
      <c r="P1173" s="1010" t="str">
        <f>'Part VIII-Threshold Criteria'!P264</f>
        <v>Yes</v>
      </c>
      <c r="Q1173" s="1010">
        <f>'Part VIII-Threshold Criteria'!Q264</f>
        <v>0</v>
      </c>
    </row>
    <row r="1174" spans="1:17">
      <c r="B1174" s="1003" t="s">
        <v>1996</v>
      </c>
      <c r="D1174" s="1003"/>
      <c r="E1174" s="1003"/>
      <c r="F1174" s="1003"/>
      <c r="G1174" s="1003"/>
      <c r="H1174" s="988"/>
      <c r="I1174" s="985"/>
      <c r="J1174" s="985"/>
      <c r="K1174" s="985"/>
      <c r="L1174" s="940"/>
      <c r="M1174" s="940"/>
      <c r="N1174" s="940"/>
      <c r="O1174" s="940"/>
      <c r="P1174" s="940"/>
      <c r="Q1174" s="940"/>
    </row>
    <row r="1175" spans="1:17">
      <c r="A1175" s="1583" t="str">
        <f>'Part VIII-Threshold Criteria'!A266</f>
        <v>The Conceptual Site Development Plan is located at Binder Tab 16 SiteInfoDevPlan and Electronic Folder 16SiteInfoDevPlan.</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1997</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2864</v>
      </c>
      <c r="C1179" s="935"/>
      <c r="D1179" s="994"/>
      <c r="E1179" s="994"/>
      <c r="F1179" s="994"/>
      <c r="G1179" s="994"/>
      <c r="H1179" s="994"/>
      <c r="I1179" s="994"/>
      <c r="J1179" s="994"/>
      <c r="K1179" s="994"/>
      <c r="L1179" s="994"/>
      <c r="M1179" s="994"/>
      <c r="O1179" s="986" t="s">
        <v>1998</v>
      </c>
      <c r="P1179" s="1591">
        <f>'Part VIII-Threshold Criteria'!P270</f>
        <v>0</v>
      </c>
      <c r="Q1179" s="1591"/>
    </row>
    <row r="1181" spans="1:17">
      <c r="A1181" s="1007"/>
      <c r="B1181" s="987" t="s">
        <v>2119</v>
      </c>
      <c r="C1181" s="1587" t="s">
        <v>3277</v>
      </c>
      <c r="D1181" s="1606"/>
      <c r="E1181" s="1606"/>
      <c r="F1181" s="1606"/>
      <c r="G1181" s="1606"/>
      <c r="H1181" s="1606"/>
      <c r="I1181" s="1606"/>
      <c r="J1181" s="1606"/>
      <c r="K1181" s="1606"/>
      <c r="L1181" s="1606"/>
      <c r="M1181" s="1606"/>
      <c r="N1181" s="1606"/>
      <c r="O1181" s="1008" t="s">
        <v>2119</v>
      </c>
      <c r="P1181" s="1010" t="str">
        <f>'Part VIII-Threshold Criteria'!P272</f>
        <v>Agree</v>
      </c>
      <c r="Q1181" s="1010">
        <f>'Part VIII-Threshold Criteria'!Q272</f>
        <v>0</v>
      </c>
    </row>
    <row r="1182" spans="1:17">
      <c r="A1182" s="1007"/>
      <c r="B1182" s="987" t="s">
        <v>2122</v>
      </c>
      <c r="C1182" s="1587" t="s">
        <v>3278</v>
      </c>
      <c r="D1182" s="1606"/>
      <c r="E1182" s="1606"/>
      <c r="F1182" s="1606"/>
      <c r="G1182" s="1606"/>
      <c r="H1182" s="1606"/>
      <c r="I1182" s="1606"/>
      <c r="J1182" s="1606"/>
      <c r="K1182" s="1606"/>
      <c r="L1182" s="1606"/>
      <c r="M1182" s="1606"/>
      <c r="N1182" s="1606"/>
      <c r="O1182" s="1008" t="s">
        <v>2122</v>
      </c>
      <c r="P1182" s="1010" t="str">
        <f>'Part VIII-Threshold Criteria'!P273</f>
        <v>Agree</v>
      </c>
      <c r="Q1182" s="1010">
        <f>'Part VIII-Threshold Criteria'!Q273</f>
        <v>0</v>
      </c>
    </row>
    <row r="1183" spans="1:17">
      <c r="B1183" s="1003" t="s">
        <v>1996</v>
      </c>
      <c r="D1183" s="1003"/>
      <c r="E1183" s="1003"/>
      <c r="F1183" s="1003"/>
      <c r="G1183" s="1003"/>
      <c r="H1183" s="988"/>
      <c r="I1183" s="985"/>
      <c r="J1183" s="985"/>
      <c r="K1183" s="985"/>
      <c r="L1183" s="940"/>
      <c r="M1183" s="940"/>
      <c r="N1183" s="940"/>
      <c r="O1183" s="940"/>
      <c r="P1183" s="940"/>
      <c r="Q1183" s="940"/>
    </row>
    <row r="1184" spans="1:17">
      <c r="A1184" s="1583" t="str">
        <f>'Part VIII-Threshold Criteria'!A275</f>
        <v>A copy of the architectural standards waiver is located at Binder Tab 17 Design Standards and Electornic Folder 17DesignStds.</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1997</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2865</v>
      </c>
      <c r="C1188" s="1016"/>
      <c r="D1188" s="1017"/>
      <c r="E1188" s="994"/>
      <c r="F1188" s="994"/>
      <c r="G1188" s="994"/>
      <c r="H1188" s="994"/>
      <c r="I1188" s="994"/>
      <c r="J1188" s="994"/>
      <c r="K1188" s="994"/>
      <c r="L1188" s="994"/>
      <c r="M1188" s="994"/>
      <c r="O1188" s="986" t="s">
        <v>1998</v>
      </c>
      <c r="P1188" s="1591">
        <f>'Part VIII-Threshold Criteria'!P279</f>
        <v>0</v>
      </c>
      <c r="Q1188" s="1591"/>
    </row>
    <row r="1189" spans="1:17">
      <c r="B1189" s="987" t="s">
        <v>2119</v>
      </c>
      <c r="C1189" s="1008" t="s">
        <v>1860</v>
      </c>
      <c r="D1189" s="1587" t="s">
        <v>3279</v>
      </c>
      <c r="E1189" s="1587"/>
      <c r="F1189" s="1587"/>
      <c r="G1189" s="1587"/>
      <c r="H1189" s="1587"/>
      <c r="I1189" s="1587"/>
      <c r="J1189" s="1587"/>
      <c r="K1189" s="1587"/>
      <c r="L1189" s="1587"/>
      <c r="M1189" s="1587"/>
      <c r="N1189" s="1587"/>
      <c r="O1189" s="1008" t="s">
        <v>2984</v>
      </c>
      <c r="P1189" s="1010" t="str">
        <f>'Part VIII-Threshold Criteria'!P280</f>
        <v>Yes</v>
      </c>
      <c r="Q1189" s="1010">
        <f>'Part VIII-Threshold Criteria'!Q280</f>
        <v>0</v>
      </c>
    </row>
    <row r="1190" spans="1:17">
      <c r="A1190" s="582"/>
      <c r="B1190" s="990"/>
      <c r="C1190" s="989" t="s">
        <v>1861</v>
      </c>
      <c r="D1190" s="1725" t="s">
        <v>3280</v>
      </c>
      <c r="E1190" s="1725"/>
      <c r="F1190" s="1725"/>
      <c r="G1190" s="1725"/>
      <c r="H1190" s="1725"/>
      <c r="I1190" s="1725"/>
      <c r="J1190" s="1725"/>
      <c r="K1190" s="1725"/>
      <c r="L1190" s="1725"/>
      <c r="M1190" s="1725"/>
      <c r="N1190" s="1725"/>
      <c r="O1190" s="989" t="s">
        <v>1861</v>
      </c>
      <c r="P1190" s="1010" t="str">
        <f>'Part VIII-Threshold Criteria'!P281</f>
        <v>Yes</v>
      </c>
      <c r="Q1190" s="1010">
        <f>'Part VIII-Threshold Criteria'!Q281</f>
        <v>0</v>
      </c>
    </row>
    <row r="1191" spans="1:17">
      <c r="A1191" s="582"/>
      <c r="B1191" s="987" t="s">
        <v>2122</v>
      </c>
      <c r="C1191" s="1008" t="s">
        <v>1860</v>
      </c>
      <c r="D1191" s="1587" t="s">
        <v>2982</v>
      </c>
      <c r="E1191" s="1587"/>
      <c r="F1191" s="1587"/>
      <c r="G1191" s="1587"/>
      <c r="H1191" s="1587"/>
      <c r="I1191" s="1587"/>
      <c r="J1191" s="1587"/>
      <c r="K1191" s="1587"/>
      <c r="L1191" s="1587"/>
      <c r="M1191" s="1587"/>
      <c r="N1191" s="1587"/>
      <c r="O1191" s="989" t="s">
        <v>2985</v>
      </c>
      <c r="P1191" s="1010" t="str">
        <f>'Part VIII-Threshold Criteria'!P282</f>
        <v>Yes</v>
      </c>
      <c r="Q1191" s="1010">
        <f>'Part VIII-Threshold Criteria'!Q282</f>
        <v>0</v>
      </c>
    </row>
    <row r="1192" spans="1:17">
      <c r="A1192" s="582"/>
      <c r="B1192" s="987"/>
      <c r="C1192" s="1008" t="s">
        <v>1861</v>
      </c>
      <c r="D1192" s="1587" t="s">
        <v>2983</v>
      </c>
      <c r="E1192" s="1587"/>
      <c r="F1192" s="1587"/>
      <c r="G1192" s="1587"/>
      <c r="H1192" s="1587"/>
      <c r="I1192" s="1587"/>
      <c r="J1192" s="1587"/>
      <c r="K1192" s="1587"/>
      <c r="L1192" s="1587"/>
      <c r="M1192" s="1587"/>
      <c r="N1192" s="1587"/>
      <c r="O1192" s="989" t="s">
        <v>3281</v>
      </c>
      <c r="P1192" s="1010" t="str">
        <f>'Part VIII-Threshold Criteria'!P283</f>
        <v>Yes</v>
      </c>
      <c r="Q1192" s="1010">
        <f>'Part VIII-Threshold Criteria'!Q283</f>
        <v>0</v>
      </c>
    </row>
    <row r="1193" spans="1:17">
      <c r="A1193" s="1007"/>
      <c r="B1193" s="987" t="s">
        <v>800</v>
      </c>
      <c r="C1193" s="1008"/>
      <c r="D1193" s="1587" t="s">
        <v>3396</v>
      </c>
      <c r="E1193" s="1587"/>
      <c r="F1193" s="1587"/>
      <c r="G1193" s="1587"/>
      <c r="H1193" s="1587"/>
      <c r="I1193" s="1587"/>
      <c r="J1193" s="1587"/>
      <c r="K1193" s="1587"/>
      <c r="L1193" s="1587"/>
      <c r="M1193" s="1587"/>
      <c r="N1193" s="1587"/>
      <c r="O1193" s="1008" t="s">
        <v>800</v>
      </c>
      <c r="P1193" s="1010" t="str">
        <f>'Part VIII-Threshold Criteria'!P284</f>
        <v>Yes</v>
      </c>
      <c r="Q1193" s="1010">
        <f>'Part VIII-Threshold Criteria'!Q284</f>
        <v>0</v>
      </c>
    </row>
    <row r="1194" spans="1:17">
      <c r="B1194" s="1003" t="s">
        <v>1996</v>
      </c>
      <c r="D1194" s="1003"/>
      <c r="E1194" s="1003"/>
      <c r="F1194" s="1003"/>
      <c r="G1194" s="1003"/>
      <c r="H1194" s="988"/>
      <c r="I1194" s="985"/>
      <c r="J1194" s="985"/>
      <c r="K1194" s="985"/>
      <c r="L1194" s="940"/>
      <c r="M1194" s="940"/>
      <c r="N1194" s="940"/>
      <c r="O1194" s="940"/>
      <c r="P1194" s="940"/>
      <c r="Q1194" s="940"/>
    </row>
    <row r="1195" spans="1:17">
      <c r="A1195" s="1583">
        <f>'Part VIII-Threshold Criteria'!A286</f>
        <v>0</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1997</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2866</v>
      </c>
      <c r="C1198" s="585"/>
      <c r="D1198" s="585"/>
      <c r="E1198" s="585"/>
      <c r="F1198" s="585"/>
      <c r="G1198" s="585"/>
      <c r="H1198" s="994"/>
      <c r="I1198" s="994"/>
      <c r="J1198" s="994"/>
      <c r="K1198" s="994"/>
      <c r="L1198" s="994"/>
      <c r="M1198" s="994"/>
      <c r="O1198" s="986" t="s">
        <v>1998</v>
      </c>
      <c r="P1198" s="1591">
        <f>'Part VIII-Threshold Criteria'!P289</f>
        <v>0</v>
      </c>
      <c r="Q1198" s="1591"/>
    </row>
    <row r="1199" spans="1:17">
      <c r="B1199" s="565" t="s">
        <v>2401</v>
      </c>
      <c r="P1199" s="1010" t="str">
        <f>'Part VIII-Threshold Criteria'!P290</f>
        <v>No</v>
      </c>
      <c r="Q1199" s="1010">
        <f>'Part VIII-Threshold Criteria'!Q290</f>
        <v>0</v>
      </c>
    </row>
    <row r="1200" spans="1:17">
      <c r="B1200" s="1001" t="s">
        <v>2355</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2119</v>
      </c>
      <c r="C1201" s="1004" t="s">
        <v>3684</v>
      </c>
      <c r="D1201" s="988"/>
      <c r="E1201" s="988"/>
      <c r="F1201" s="988"/>
      <c r="G1201" s="988"/>
      <c r="H1201" s="988"/>
      <c r="I1201" s="988"/>
      <c r="J1201" s="988"/>
      <c r="K1201" s="988"/>
      <c r="L1201" s="988"/>
      <c r="M1201" s="988"/>
      <c r="N1201" s="1008"/>
    </row>
    <row r="1202" spans="1:17">
      <c r="A1202" s="1006"/>
      <c r="C1202" s="1587" t="s">
        <v>3526</v>
      </c>
      <c r="D1202" s="1587"/>
      <c r="E1202" s="1587"/>
      <c r="F1202" s="1587"/>
      <c r="G1202" s="1587"/>
      <c r="H1202" s="1587"/>
      <c r="I1202" s="1587"/>
      <c r="J1202" s="1587"/>
      <c r="K1202" s="1587"/>
      <c r="L1202" s="1587"/>
      <c r="M1202" s="1587"/>
      <c r="N1202" s="1587"/>
      <c r="O1202" s="1008" t="s">
        <v>2119</v>
      </c>
      <c r="P1202" s="1010" t="str">
        <f>'Part VIII-Threshold Criteria'!P293</f>
        <v>Yes</v>
      </c>
      <c r="Q1202" s="1010">
        <f>'Part VIII-Threshold Criteria'!Q293</f>
        <v>0</v>
      </c>
    </row>
    <row r="1203" spans="1:17">
      <c r="B1203" s="987" t="s">
        <v>2122</v>
      </c>
      <c r="C1203" s="1739" t="s">
        <v>485</v>
      </c>
      <c r="D1203" s="1739"/>
      <c r="E1203" s="1739"/>
      <c r="F1203" s="1739"/>
      <c r="G1203" s="1739"/>
      <c r="H1203" s="1739"/>
      <c r="I1203" s="1739"/>
      <c r="J1203" s="1739"/>
      <c r="K1203" s="1739"/>
      <c r="L1203" s="1739"/>
      <c r="M1203" s="1739"/>
      <c r="O1203" s="1008" t="s">
        <v>2122</v>
      </c>
      <c r="P1203" s="940"/>
      <c r="Q1203" s="940"/>
    </row>
    <row r="1204" spans="1:17">
      <c r="A1204" s="1006"/>
      <c r="C1204" s="1009" t="s">
        <v>1860</v>
      </c>
      <c r="D1204" s="996" t="s">
        <v>1198</v>
      </c>
      <c r="E1204" s="1007"/>
      <c r="F1204" s="1007"/>
      <c r="G1204" s="1736" t="str">
        <f>'Part VIII-Threshold Criteria'!G295</f>
        <v>Exterior wall faces will have an excess of 40% brick or stone on each total wall surface</v>
      </c>
      <c r="H1204" s="1737"/>
      <c r="I1204" s="1737"/>
      <c r="J1204" s="1737"/>
      <c r="K1204" s="1737"/>
      <c r="L1204" s="1737"/>
      <c r="M1204" s="1737"/>
      <c r="N1204" s="1737"/>
      <c r="O1204" s="1008" t="s">
        <v>1860</v>
      </c>
      <c r="P1204" s="1010" t="str">
        <f>'Part VIII-Threshold Criteria'!P295</f>
        <v>Yes</v>
      </c>
      <c r="Q1204" s="1010">
        <f>'Part VIII-Threshold Criteria'!Q295</f>
        <v>0</v>
      </c>
    </row>
    <row r="1205" spans="1:17" ht="12.75" customHeight="1">
      <c r="A1205" s="1006"/>
      <c r="C1205" s="1009" t="s">
        <v>1861</v>
      </c>
      <c r="D1205" s="1583" t="s">
        <v>1199</v>
      </c>
      <c r="E1205" s="1605"/>
      <c r="F1205" s="1605"/>
      <c r="G1205" s="1736" t="str">
        <f>'Part VIII-Threshold Criteria'!G296</f>
        <v>Upgraded roofing shingles, or roofing materials  (warranty 30 years or greater)</v>
      </c>
      <c r="H1205" s="1737"/>
      <c r="I1205" s="1737"/>
      <c r="J1205" s="1737"/>
      <c r="K1205" s="1737"/>
      <c r="L1205" s="1737"/>
      <c r="M1205" s="1737"/>
      <c r="N1205" s="1737"/>
      <c r="O1205" s="1008" t="s">
        <v>1861</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800</v>
      </c>
      <c r="C1207" s="1738" t="s">
        <v>3685</v>
      </c>
      <c r="D1207" s="1738"/>
      <c r="E1207" s="1738"/>
      <c r="F1207" s="1738"/>
      <c r="G1207" s="1738"/>
      <c r="H1207" s="1738"/>
      <c r="I1207" s="1738"/>
      <c r="J1207" s="1738"/>
      <c r="K1207" s="1738"/>
      <c r="L1207" s="1738"/>
      <c r="M1207" s="1738"/>
      <c r="N1207" s="1738"/>
      <c r="O1207" s="1011" t="s">
        <v>800</v>
      </c>
      <c r="P1207" s="940"/>
      <c r="Q1207" s="940"/>
    </row>
    <row r="1208" spans="1:17">
      <c r="A1208" s="1006"/>
      <c r="B1208" s="1007"/>
      <c r="C1208" s="1009" t="s">
        <v>1860</v>
      </c>
      <c r="D1208" s="1583">
        <f>'Part VIII-Threshold Criteria'!D299</f>
        <v>0</v>
      </c>
      <c r="E1208" s="1583"/>
      <c r="F1208" s="1583"/>
      <c r="G1208" s="1583"/>
      <c r="H1208" s="1583"/>
      <c r="I1208" s="1583"/>
      <c r="J1208" s="1583"/>
      <c r="K1208" s="1583"/>
      <c r="L1208" s="1583"/>
      <c r="M1208" s="1583"/>
      <c r="N1208" s="1583"/>
      <c r="O1208" s="1008" t="s">
        <v>1860</v>
      </c>
      <c r="P1208" s="1010" t="str">
        <f>'Part VIII-Threshold Criteria'!P299</f>
        <v>No</v>
      </c>
      <c r="Q1208" s="1010">
        <f>'Part VIII-Threshold Criteria'!Q299</f>
        <v>0</v>
      </c>
    </row>
    <row r="1209" spans="1:17">
      <c r="A1209" s="1006"/>
      <c r="B1209" s="1007"/>
      <c r="C1209" s="1009" t="s">
        <v>1861</v>
      </c>
      <c r="D1209" s="1583">
        <f>'Part VIII-Threshold Criteria'!D300</f>
        <v>0</v>
      </c>
      <c r="E1209" s="1583"/>
      <c r="F1209" s="1583"/>
      <c r="G1209" s="1583"/>
      <c r="H1209" s="1583"/>
      <c r="I1209" s="1583"/>
      <c r="J1209" s="1583"/>
      <c r="K1209" s="1583"/>
      <c r="L1209" s="1583"/>
      <c r="M1209" s="1583"/>
      <c r="N1209" s="1583"/>
      <c r="O1209" s="1008" t="s">
        <v>1861</v>
      </c>
      <c r="P1209" s="1010" t="str">
        <f>'Part VIII-Threshold Criteria'!P300</f>
        <v>No</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1996</v>
      </c>
      <c r="D1211" s="1003"/>
      <c r="E1211" s="1003"/>
      <c r="F1211" s="1003"/>
      <c r="G1211" s="1003"/>
      <c r="H1211" s="988"/>
      <c r="I1211" s="985"/>
      <c r="J1211" s="985"/>
      <c r="K1211" s="985"/>
      <c r="L1211" s="940"/>
      <c r="M1211" s="940"/>
      <c r="N1211" s="940"/>
      <c r="O1211" s="940"/>
      <c r="P1211" s="940"/>
      <c r="Q1211" s="940"/>
    </row>
    <row r="1212" spans="1:17">
      <c r="A1212" s="1583" t="str">
        <f>'Part VIII-Threshold Criteria'!A303</f>
        <v>A copy of the architectural standards waiver is located at Binder Tab 17 Design Standards and Electornic Folder 17DesignStds.  The buildings currently meet the requirement of 40% Brick or stone on each of the total wall surfaces.</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1997</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3547</v>
      </c>
      <c r="C1216" s="935"/>
      <c r="D1216" s="994"/>
      <c r="E1216" s="994"/>
      <c r="F1216" s="994"/>
      <c r="G1216" s="994"/>
      <c r="H1216" s="994"/>
      <c r="O1216" s="986" t="s">
        <v>1998</v>
      </c>
      <c r="P1216" s="1591">
        <f>'Part VIII-Threshold Criteria'!P307</f>
        <v>0</v>
      </c>
      <c r="Q1216" s="1591"/>
    </row>
    <row r="1217" spans="1:17">
      <c r="B1217" s="565" t="s">
        <v>3548</v>
      </c>
      <c r="P1217" s="1010" t="str">
        <f>'Part VIII-Threshold Criteria'!P308</f>
        <v>Yes</v>
      </c>
      <c r="Q1217" s="1010">
        <f>'Part VIII-Threshold Criteria'!Q308</f>
        <v>0</v>
      </c>
    </row>
    <row r="1218" spans="1:17">
      <c r="B1218" s="565" t="s">
        <v>2502</v>
      </c>
      <c r="P1218" s="1010" t="str">
        <f>'Part VIII-Threshold Criteria'!P309</f>
        <v>Yes</v>
      </c>
      <c r="Q1218" s="1010">
        <f>'Part VIII-Threshold Criteria'!Q309</f>
        <v>0</v>
      </c>
    </row>
    <row r="1219" spans="1:17">
      <c r="B1219" s="565" t="s">
        <v>3549</v>
      </c>
      <c r="M1219" s="1734" t="str">
        <f>'Part VIII-Threshold Criteria'!M310</f>
        <v>Qualified w/ Conditions (i)</v>
      </c>
      <c r="N1219" s="1734"/>
      <c r="O1219" s="1734"/>
    </row>
    <row r="1220" spans="1:17">
      <c r="B1220" s="1018" t="s">
        <v>2503</v>
      </c>
      <c r="M1220" s="1734" t="str">
        <f>'Part VIII-Threshold Criteria'!M311</f>
        <v>&lt;&lt; Select Designation &gt;&gt;</v>
      </c>
      <c r="N1220" s="1734"/>
      <c r="O1220" s="1734"/>
    </row>
    <row r="1221" spans="1:17">
      <c r="B1221" s="1003" t="s">
        <v>1996</v>
      </c>
      <c r="D1221" s="1003"/>
      <c r="E1221" s="1003"/>
      <c r="F1221" s="1003"/>
      <c r="G1221" s="1003"/>
      <c r="H1221" s="988"/>
      <c r="I1221" s="985"/>
      <c r="J1221" s="985"/>
      <c r="K1221" s="985"/>
      <c r="L1221" s="940"/>
      <c r="M1221" s="940"/>
      <c r="N1221" s="940"/>
      <c r="O1221" s="940"/>
      <c r="P1221" s="940"/>
      <c r="Q1221" s="940"/>
    </row>
    <row r="1222" spans="1:17">
      <c r="A1222" s="1583" t="str">
        <f>'Part VIII-Threshold Criteria'!A313</f>
        <v>The performance workbook and confirmation of Qualified with Conditions from DCA is located at Binder Tab 18 and Electronic Folder 18 QualDet.</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1997</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2867</v>
      </c>
      <c r="C1226" s="585"/>
      <c r="D1226" s="984"/>
      <c r="E1226" s="994"/>
      <c r="F1226" s="994"/>
      <c r="G1226" s="994"/>
      <c r="H1226" s="994"/>
      <c r="I1226" s="994"/>
      <c r="J1226" s="994"/>
      <c r="K1226" s="994"/>
      <c r="L1226" s="994"/>
      <c r="M1226" s="994"/>
      <c r="O1226" s="986" t="s">
        <v>1998</v>
      </c>
      <c r="P1226" s="1591">
        <f>'Part VIII-Threshold Criteria'!P317</f>
        <v>0</v>
      </c>
      <c r="Q1226" s="1591"/>
    </row>
    <row r="1227" spans="1:17">
      <c r="B1227" s="987" t="s">
        <v>2119</v>
      </c>
      <c r="C1227" s="1583" t="s">
        <v>3550</v>
      </c>
      <c r="D1227" s="1583"/>
      <c r="E1227" s="1583"/>
      <c r="F1227" s="1583"/>
      <c r="G1227" s="1583"/>
      <c r="H1227" s="1583"/>
      <c r="I1227" s="1583"/>
      <c r="J1227" s="1583"/>
      <c r="K1227" s="1583"/>
      <c r="L1227" s="1583"/>
      <c r="M1227" s="1583"/>
      <c r="N1227" s="1583"/>
      <c r="O1227" s="1008" t="s">
        <v>2119</v>
      </c>
      <c r="P1227" s="1010" t="str">
        <f>'Part VIII-Threshold Criteria'!P318</f>
        <v>Yes</v>
      </c>
      <c r="Q1227" s="1010">
        <f>'Part VIII-Threshold Criteria'!Q318</f>
        <v>0</v>
      </c>
    </row>
    <row r="1228" spans="1:17">
      <c r="B1228" s="987" t="s">
        <v>2122</v>
      </c>
      <c r="C1228" s="1583" t="s">
        <v>3587</v>
      </c>
      <c r="D1228" s="1583"/>
      <c r="E1228" s="1583"/>
      <c r="F1228" s="1583"/>
      <c r="G1228" s="1583"/>
      <c r="H1228" s="1583"/>
      <c r="I1228" s="1583"/>
      <c r="J1228" s="1583"/>
      <c r="K1228" s="1583"/>
      <c r="L1228" s="1583"/>
      <c r="M1228" s="1583"/>
      <c r="N1228" s="1583"/>
      <c r="O1228" s="1008" t="s">
        <v>2122</v>
      </c>
      <c r="P1228" s="1010" t="str">
        <f>'Part VIII-Threshold Criteria'!P319</f>
        <v>Yes</v>
      </c>
      <c r="Q1228" s="1010">
        <f>'Part VIII-Threshold Criteria'!Q319</f>
        <v>0</v>
      </c>
    </row>
    <row r="1229" spans="1:17">
      <c r="B1229" s="987" t="s">
        <v>800</v>
      </c>
      <c r="C1229" s="1001" t="s">
        <v>3282</v>
      </c>
      <c r="D1229" s="1001"/>
      <c r="E1229" s="1001"/>
      <c r="F1229" s="1001"/>
      <c r="G1229" s="1001"/>
      <c r="H1229" s="1001"/>
      <c r="I1229" s="1001"/>
      <c r="J1229" s="1001"/>
      <c r="K1229" s="1001"/>
      <c r="L1229" s="1001"/>
      <c r="M1229" s="1001"/>
      <c r="O1229" s="1008" t="s">
        <v>800</v>
      </c>
      <c r="P1229" s="1010" t="str">
        <f>'Part VIII-Threshold Criteria'!P320</f>
        <v>Yes</v>
      </c>
      <c r="Q1229" s="1010">
        <f>'Part VIII-Threshold Criteria'!Q320</f>
        <v>0</v>
      </c>
    </row>
    <row r="1230" spans="1:17">
      <c r="B1230" s="987" t="s">
        <v>2254</v>
      </c>
      <c r="C1230" s="1583" t="s">
        <v>3686</v>
      </c>
      <c r="D1230" s="1583"/>
      <c r="E1230" s="1583"/>
      <c r="F1230" s="1583"/>
      <c r="G1230" s="1583"/>
      <c r="H1230" s="1583"/>
      <c r="I1230" s="1583"/>
      <c r="J1230" s="1583"/>
      <c r="K1230" s="1583"/>
      <c r="L1230" s="1583"/>
      <c r="M1230" s="1583"/>
      <c r="N1230" s="1583"/>
      <c r="O1230" s="1008" t="s">
        <v>2254</v>
      </c>
      <c r="P1230" s="1010" t="str">
        <f>'Part VIII-Threshold Criteria'!P321</f>
        <v>Yes</v>
      </c>
      <c r="Q1230" s="1010">
        <f>'Part VIII-Threshold Criteria'!Q321</f>
        <v>0</v>
      </c>
    </row>
    <row r="1231" spans="1:17">
      <c r="B1231" s="987" t="s">
        <v>1858</v>
      </c>
      <c r="C1231" s="1583" t="s">
        <v>3687</v>
      </c>
      <c r="D1231" s="1583"/>
      <c r="E1231" s="1583"/>
      <c r="F1231" s="1583"/>
      <c r="G1231" s="1583"/>
      <c r="H1231" s="1583"/>
      <c r="I1231" s="1583"/>
      <c r="J1231" s="1583"/>
      <c r="K1231" s="1583"/>
      <c r="L1231" s="1583"/>
      <c r="M1231" s="1583"/>
      <c r="N1231" s="1583"/>
      <c r="O1231" s="1008" t="s">
        <v>1858</v>
      </c>
      <c r="P1231" s="1010" t="str">
        <f>'Part VIII-Threshold Criteria'!P322</f>
        <v>Yes</v>
      </c>
      <c r="Q1231" s="1010">
        <f>'Part VIII-Threshold Criteria'!Q322</f>
        <v>0</v>
      </c>
    </row>
    <row r="1232" spans="1:17">
      <c r="B1232" s="1003" t="s">
        <v>1996</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Compliance History Inforation has been provided in Section 21 for the GP and the Management Company.</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1997</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2901</v>
      </c>
      <c r="C1237" s="585"/>
      <c r="D1237" s="585"/>
      <c r="E1237" s="585"/>
      <c r="F1237" s="585"/>
      <c r="G1237" s="585"/>
      <c r="H1237" s="994"/>
      <c r="I1237" s="994"/>
      <c r="J1237" s="994"/>
      <c r="K1237" s="994"/>
      <c r="L1237" s="994"/>
      <c r="M1237" s="994"/>
      <c r="O1237" s="986" t="s">
        <v>1998</v>
      </c>
      <c r="P1237" s="1591">
        <f>'Part VIII-Threshold Criteria'!P328</f>
        <v>0</v>
      </c>
      <c r="Q1237" s="1591"/>
    </row>
    <row r="1238" spans="1:17">
      <c r="B1238" s="990" t="s">
        <v>2119</v>
      </c>
      <c r="C1238" s="583" t="s">
        <v>2897</v>
      </c>
      <c r="D1238" s="603"/>
      <c r="E1238" s="603"/>
      <c r="F1238" s="603"/>
      <c r="G1238" s="603"/>
      <c r="H1238" s="603"/>
      <c r="I1238" s="582"/>
      <c r="J1238" s="989" t="s">
        <v>2119</v>
      </c>
      <c r="K1238" s="1618">
        <f>'Part VIII-Threshold Criteria'!K329</f>
        <v>0</v>
      </c>
      <c r="L1238" s="1618"/>
      <c r="M1238" s="1618"/>
      <c r="N1238" s="1618"/>
      <c r="O1238" s="1618"/>
      <c r="P1238" s="1618"/>
      <c r="Q1238" s="1010">
        <f>'Part VIII-Threshold Criteria'!Q329</f>
        <v>0</v>
      </c>
    </row>
    <row r="1239" spans="1:17">
      <c r="B1239" s="987" t="s">
        <v>2122</v>
      </c>
      <c r="C1239" s="1580" t="s">
        <v>2896</v>
      </c>
      <c r="D1239" s="1580"/>
      <c r="E1239" s="1580"/>
      <c r="F1239" s="1580"/>
      <c r="G1239" s="1580"/>
      <c r="H1239" s="1580"/>
      <c r="I1239" s="1580"/>
      <c r="J1239" s="1580"/>
      <c r="K1239" s="1580"/>
      <c r="L1239" s="1580"/>
      <c r="M1239" s="1580"/>
      <c r="N1239" s="1580"/>
      <c r="O1239" s="1008" t="s">
        <v>2122</v>
      </c>
      <c r="P1239" s="1010" t="str">
        <f>'Part VIII-Threshold Criteria'!P330</f>
        <v>No</v>
      </c>
      <c r="Q1239" s="1010">
        <f>'Part VIII-Threshold Criteria'!Q330</f>
        <v>0</v>
      </c>
    </row>
    <row r="1240" spans="1:17">
      <c r="B1240" s="990" t="s">
        <v>800</v>
      </c>
      <c r="C1240" s="583" t="s">
        <v>2898</v>
      </c>
      <c r="D1240" s="583"/>
      <c r="E1240" s="583"/>
      <c r="F1240" s="583"/>
      <c r="G1240" s="583"/>
      <c r="H1240" s="583"/>
      <c r="I1240" s="583"/>
      <c r="J1240" s="583"/>
      <c r="K1240" s="583"/>
      <c r="L1240" s="988"/>
      <c r="M1240" s="988"/>
      <c r="O1240" s="989" t="s">
        <v>800</v>
      </c>
      <c r="P1240" s="1010" t="str">
        <f>'Part VIII-Threshold Criteria'!P331</f>
        <v>No</v>
      </c>
      <c r="Q1240" s="1010">
        <f>'Part VIII-Threshold Criteria'!Q331</f>
        <v>0</v>
      </c>
    </row>
    <row r="1241" spans="1:17">
      <c r="B1241" s="990" t="s">
        <v>2254</v>
      </c>
      <c r="C1241" s="583" t="s">
        <v>2899</v>
      </c>
      <c r="D1241" s="583"/>
      <c r="E1241" s="583"/>
      <c r="F1241" s="583"/>
      <c r="G1241" s="583"/>
      <c r="H1241" s="583"/>
      <c r="I1241" s="583"/>
      <c r="J1241" s="583"/>
      <c r="K1241" s="583"/>
      <c r="L1241" s="583"/>
      <c r="M1241" s="583"/>
      <c r="O1241" s="989" t="s">
        <v>2254</v>
      </c>
      <c r="P1241" s="1010" t="str">
        <f>'Part VIII-Threshold Criteria'!P332</f>
        <v>No</v>
      </c>
      <c r="Q1241" s="1010">
        <f>'Part VIII-Threshold Criteria'!Q332</f>
        <v>0</v>
      </c>
    </row>
    <row r="1242" spans="1:17">
      <c r="A1242" s="1007"/>
      <c r="B1242" s="987" t="s">
        <v>1858</v>
      </c>
      <c r="C1242" s="1583" t="s">
        <v>2903</v>
      </c>
      <c r="D1242" s="1583"/>
      <c r="E1242" s="1583"/>
      <c r="F1242" s="1583"/>
      <c r="G1242" s="1583"/>
      <c r="H1242" s="1583"/>
      <c r="I1242" s="1583"/>
      <c r="J1242" s="1583"/>
      <c r="K1242" s="1583"/>
      <c r="L1242" s="1583"/>
      <c r="M1242" s="1583"/>
      <c r="N1242" s="1583"/>
      <c r="O1242" s="1008" t="s">
        <v>1858</v>
      </c>
      <c r="P1242" s="1010" t="str">
        <f>'Part VIII-Threshold Criteria'!P333</f>
        <v>No</v>
      </c>
      <c r="Q1242" s="1010">
        <f>'Part VIII-Threshold Criteria'!Q333</f>
        <v>0</v>
      </c>
    </row>
    <row r="1243" spans="1:17">
      <c r="A1243" s="1007"/>
      <c r="B1243" s="987" t="s">
        <v>1859</v>
      </c>
      <c r="C1243" s="1583" t="s">
        <v>2906</v>
      </c>
      <c r="D1243" s="1583"/>
      <c r="E1243" s="1583"/>
      <c r="F1243" s="1583"/>
      <c r="G1243" s="1583"/>
      <c r="H1243" s="1583"/>
      <c r="I1243" s="1583"/>
      <c r="J1243" s="1583"/>
      <c r="K1243" s="1583"/>
      <c r="L1243" s="1583"/>
      <c r="M1243" s="1583"/>
      <c r="N1243" s="1583"/>
      <c r="O1243" s="1008" t="s">
        <v>1859</v>
      </c>
      <c r="P1243" s="1010" t="str">
        <f>'Part VIII-Threshold Criteria'!P334</f>
        <v>No</v>
      </c>
      <c r="Q1243" s="1010">
        <f>'Part VIII-Threshold Criteria'!Q334</f>
        <v>0</v>
      </c>
    </row>
    <row r="1244" spans="1:17">
      <c r="B1244" s="990" t="s">
        <v>2082</v>
      </c>
      <c r="C1244" s="583" t="s">
        <v>2900</v>
      </c>
      <c r="D1244" s="583"/>
      <c r="E1244" s="583"/>
      <c r="F1244" s="583"/>
      <c r="G1244" s="583"/>
      <c r="H1244" s="583"/>
      <c r="I1244" s="583"/>
      <c r="J1244" s="583"/>
      <c r="K1244" s="583"/>
      <c r="L1244" s="583"/>
      <c r="M1244" s="583"/>
      <c r="O1244" s="989" t="s">
        <v>2082</v>
      </c>
      <c r="P1244" s="1010" t="str">
        <f>'Part VIII-Threshold Criteria'!P335</f>
        <v>No</v>
      </c>
      <c r="Q1244" s="1010">
        <f>'Part VIII-Threshold Criteria'!Q335</f>
        <v>0</v>
      </c>
    </row>
    <row r="1245" spans="1:17">
      <c r="B1245" s="1003" t="s">
        <v>1996</v>
      </c>
      <c r="D1245" s="1003"/>
      <c r="E1245" s="1003"/>
      <c r="F1245" s="1003"/>
      <c r="G1245" s="1003"/>
      <c r="H1245" s="988"/>
      <c r="I1245" s="985"/>
      <c r="J1245" s="985"/>
      <c r="K1245" s="985"/>
      <c r="L1245" s="940"/>
      <c r="M1245" s="940"/>
      <c r="N1245" s="940"/>
      <c r="O1245" s="940"/>
      <c r="P1245" s="940"/>
      <c r="Q1245" s="940"/>
    </row>
    <row r="1246" spans="1:17">
      <c r="A1246" s="1583">
        <f>'Part VIII-Threshold Criteria'!A337</f>
        <v>0</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1997</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2907</v>
      </c>
      <c r="C1250" s="585"/>
      <c r="D1250" s="585"/>
      <c r="E1250" s="585"/>
      <c r="F1250" s="585"/>
      <c r="G1250" s="585"/>
      <c r="H1250" s="994"/>
      <c r="I1250" s="994"/>
      <c r="J1250" s="994"/>
      <c r="O1250" s="986" t="s">
        <v>1998</v>
      </c>
      <c r="P1250" s="1591">
        <f>'Part VIII-Threshold Criteria'!P341</f>
        <v>0</v>
      </c>
      <c r="Q1250" s="1591"/>
    </row>
    <row r="1251" spans="1:17">
      <c r="B1251" s="990" t="s">
        <v>2119</v>
      </c>
      <c r="C1251" s="583" t="s">
        <v>1097</v>
      </c>
      <c r="E1251" s="1618">
        <f>'Part VIII-Threshold Criteria'!E342</f>
        <v>0</v>
      </c>
      <c r="F1251" s="1618"/>
      <c r="G1251" s="1618"/>
      <c r="H1251" s="1618"/>
      <c r="I1251" s="1618"/>
      <c r="J1251" s="1576" t="s">
        <v>2873</v>
      </c>
      <c r="K1251" s="1576"/>
      <c r="L1251" s="1576"/>
      <c r="M1251" s="1618">
        <f>'Part VIII-Threshold Criteria'!M342</f>
        <v>0</v>
      </c>
      <c r="N1251" s="1618"/>
      <c r="O1251" s="1618"/>
      <c r="P1251" s="1618"/>
      <c r="Q1251" s="1618"/>
    </row>
    <row r="1252" spans="1:17">
      <c r="B1252" s="990" t="s">
        <v>2122</v>
      </c>
      <c r="C1252" s="583" t="s">
        <v>1863</v>
      </c>
      <c r="D1252" s="583"/>
      <c r="E1252" s="583"/>
      <c r="F1252" s="583"/>
      <c r="G1252" s="583"/>
      <c r="H1252" s="583"/>
      <c r="I1252" s="583"/>
      <c r="J1252" s="583"/>
      <c r="K1252" s="583"/>
      <c r="L1252" s="988"/>
      <c r="M1252" s="988"/>
      <c r="O1252" s="989" t="s">
        <v>2122</v>
      </c>
      <c r="P1252" s="1010" t="str">
        <f>'Part VIII-Threshold Criteria'!P343</f>
        <v>No</v>
      </c>
      <c r="Q1252" s="1010">
        <f>'Part VIII-Threshold Criteria'!Q343</f>
        <v>0</v>
      </c>
    </row>
    <row r="1253" spans="1:17">
      <c r="B1253" s="987" t="s">
        <v>800</v>
      </c>
      <c r="C1253" s="1580" t="s">
        <v>2988</v>
      </c>
      <c r="D1253" s="1580"/>
      <c r="E1253" s="1580"/>
      <c r="F1253" s="1580"/>
      <c r="G1253" s="1580"/>
      <c r="H1253" s="1580"/>
      <c r="I1253" s="1580"/>
      <c r="J1253" s="1580"/>
      <c r="K1253" s="1580"/>
      <c r="L1253" s="1580"/>
      <c r="M1253" s="1580"/>
      <c r="N1253" s="1580"/>
      <c r="O1253" s="989" t="s">
        <v>800</v>
      </c>
      <c r="P1253" s="1010" t="str">
        <f>'Part VIII-Threshold Criteria'!P344</f>
        <v>No</v>
      </c>
      <c r="Q1253" s="1010">
        <f>'Part VIII-Threshold Criteria'!Q344</f>
        <v>0</v>
      </c>
    </row>
    <row r="1254" spans="1:17">
      <c r="B1254" s="1003" t="s">
        <v>1996</v>
      </c>
      <c r="D1254" s="1003"/>
      <c r="E1254" s="1003"/>
      <c r="F1254" s="1003"/>
      <c r="G1254" s="1003"/>
      <c r="H1254" s="988"/>
      <c r="I1254" s="985"/>
      <c r="J1254" s="985"/>
      <c r="K1254" s="985"/>
      <c r="L1254" s="940"/>
      <c r="M1254" s="940"/>
      <c r="N1254" s="940"/>
      <c r="O1254" s="940"/>
      <c r="P1254" s="940"/>
      <c r="Q1254" s="940"/>
    </row>
    <row r="1255" spans="1:17">
      <c r="A1255" s="1583">
        <f>'Part VIII-Threshold Criteria'!A346</f>
        <v>0</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1997</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2871</v>
      </c>
      <c r="C1259" s="585"/>
      <c r="D1259" s="984"/>
      <c r="E1259" s="994"/>
      <c r="F1259" s="994"/>
      <c r="G1259" s="994"/>
      <c r="H1259" s="994"/>
      <c r="I1259" s="994"/>
      <c r="J1259" s="994"/>
      <c r="K1259" s="994"/>
      <c r="L1259" s="994"/>
      <c r="M1259" s="994"/>
      <c r="O1259" s="986" t="s">
        <v>1998</v>
      </c>
      <c r="P1259" s="1591">
        <f>'Part VIII-Threshold Criteria'!P350</f>
        <v>0</v>
      </c>
      <c r="Q1259" s="1591"/>
    </row>
    <row r="1260" spans="1:17">
      <c r="A1260" s="582"/>
      <c r="B1260" s="987" t="s">
        <v>2119</v>
      </c>
      <c r="C1260" s="1583" t="s">
        <v>3688</v>
      </c>
      <c r="D1260" s="1583"/>
      <c r="E1260" s="1583"/>
      <c r="F1260" s="1583"/>
      <c r="G1260" s="1583"/>
      <c r="H1260" s="1583"/>
      <c r="I1260" s="1583"/>
      <c r="J1260" s="1583"/>
      <c r="K1260" s="1583"/>
      <c r="L1260" s="1583"/>
      <c r="M1260" s="1008" t="s">
        <v>2119</v>
      </c>
      <c r="N1260" s="1715" t="str">
        <f>'Part VIII-Threshold Criteria'!N351</f>
        <v>Minority concentration</v>
      </c>
      <c r="O1260" s="1715"/>
      <c r="P1260" s="1715" t="str">
        <f>'Part VIII-Threshold Criteria'!P351</f>
        <v>&lt;&lt;Select&gt;&gt;</v>
      </c>
      <c r="Q1260" s="1715"/>
    </row>
    <row r="1261" spans="1:17">
      <c r="A1261" s="582"/>
      <c r="B1261" s="990" t="s">
        <v>2122</v>
      </c>
      <c r="C1261" s="988" t="s">
        <v>1</v>
      </c>
      <c r="D1261" s="1019"/>
      <c r="E1261" s="1019"/>
      <c r="F1261" s="582"/>
      <c r="G1261" s="989" t="s">
        <v>2122</v>
      </c>
      <c r="H1261" s="1580" t="str">
        <f>'Part VIII-Threshold Criteria'!H352</f>
        <v>124.00, 125.00, 134.10, 132.02, 136.05, 136.06, 138.03, 1126.00</v>
      </c>
      <c r="I1261" s="1580"/>
      <c r="J1261" s="1580"/>
      <c r="K1261" s="1580"/>
      <c r="L1261" s="1580"/>
      <c r="M1261" s="1580"/>
      <c r="N1261" s="1580"/>
      <c r="O1261" s="1580"/>
      <c r="P1261" s="1580"/>
      <c r="Q1261" s="1010">
        <f>'Part VIII-Threshold Criteria'!Q352</f>
        <v>0</v>
      </c>
    </row>
    <row r="1262" spans="1:17">
      <c r="A1262" s="582"/>
      <c r="B1262" s="990" t="s">
        <v>800</v>
      </c>
      <c r="C1262" s="988" t="s">
        <v>1508</v>
      </c>
      <c r="D1262" s="1020"/>
      <c r="E1262" s="1020"/>
      <c r="F1262" s="1020"/>
      <c r="G1262" s="830"/>
      <c r="H1262" s="830"/>
      <c r="I1262" s="988"/>
      <c r="J1262" s="582"/>
      <c r="K1262" s="830"/>
      <c r="L1262" s="830"/>
      <c r="M1262" s="830"/>
      <c r="N1262" s="582"/>
      <c r="O1262" s="989" t="s">
        <v>800</v>
      </c>
      <c r="P1262" s="1010" t="str">
        <f>'Part VIII-Threshold Criteria'!P353</f>
        <v>No</v>
      </c>
      <c r="Q1262" s="1010">
        <f>'Part VIII-Threshold Criteria'!Q353</f>
        <v>0</v>
      </c>
    </row>
    <row r="1263" spans="1:17">
      <c r="B1263" s="1003" t="s">
        <v>1996</v>
      </c>
      <c r="D1263" s="1003"/>
      <c r="E1263" s="1003"/>
      <c r="F1263" s="1003"/>
      <c r="G1263" s="1003"/>
      <c r="H1263" s="988"/>
      <c r="I1263" s="985"/>
      <c r="J1263" s="985"/>
      <c r="K1263" s="985"/>
      <c r="L1263" s="940"/>
      <c r="M1263" s="940"/>
      <c r="N1263" s="940"/>
      <c r="O1263" s="940"/>
      <c r="P1263" s="940"/>
      <c r="Q1263" s="940"/>
    </row>
    <row r="1264" spans="1:17">
      <c r="A1264" s="1583" t="str">
        <f>'Part VIII-Threshold Criteria'!A355</f>
        <v>The site currently has a HAP PBRA contract from HUD that will be renewed for the development.  The project has been designated as a high priority project.</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1997</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2868</v>
      </c>
      <c r="C1269" s="585"/>
      <c r="D1269" s="585"/>
      <c r="E1269" s="994"/>
      <c r="G1269" s="996" t="s">
        <v>750</v>
      </c>
      <c r="H1269" s="994"/>
      <c r="I1269" s="994"/>
      <c r="J1269" s="994"/>
      <c r="K1269" s="994"/>
      <c r="L1269" s="994"/>
      <c r="M1269" s="994"/>
      <c r="O1269" s="986" t="s">
        <v>1998</v>
      </c>
      <c r="P1269" s="1591">
        <f>'Part VIII-Threshold Criteria'!P360</f>
        <v>0</v>
      </c>
      <c r="Q1269" s="1591"/>
    </row>
    <row r="1270" spans="1:17">
      <c r="A1270" s="1006"/>
      <c r="B1270" s="990" t="s">
        <v>2119</v>
      </c>
      <c r="C1270" s="583" t="s">
        <v>2875</v>
      </c>
      <c r="D1270" s="1005"/>
      <c r="E1270" s="1005"/>
      <c r="H1270" s="996"/>
      <c r="O1270" s="989" t="s">
        <v>2119</v>
      </c>
      <c r="P1270" s="1010" t="str">
        <f>'Part VIII-Threshold Criteria'!P361</f>
        <v>Yes</v>
      </c>
      <c r="Q1270" s="1010">
        <f>'Part VIII-Threshold Criteria'!Q361</f>
        <v>0</v>
      </c>
    </row>
    <row r="1271" spans="1:17">
      <c r="A1271" s="1006"/>
      <c r="B1271" s="990" t="s">
        <v>2122</v>
      </c>
      <c r="C1271" s="583" t="s">
        <v>2876</v>
      </c>
      <c r="D1271" s="1005"/>
      <c r="E1271" s="1005"/>
      <c r="O1271" s="989" t="s">
        <v>2122</v>
      </c>
      <c r="P1271" s="1010" t="str">
        <f>'Part VIII-Threshold Criteria'!P362</f>
        <v>No</v>
      </c>
      <c r="Q1271" s="1010">
        <f>'Part VIII-Threshold Criteria'!Q362</f>
        <v>0</v>
      </c>
    </row>
    <row r="1272" spans="1:17">
      <c r="A1272" s="1006"/>
      <c r="B1272" s="990" t="s">
        <v>800</v>
      </c>
      <c r="C1272" s="583" t="s">
        <v>2908</v>
      </c>
      <c r="D1272" s="1005"/>
      <c r="E1272" s="1005"/>
      <c r="O1272" s="989" t="s">
        <v>800</v>
      </c>
      <c r="P1272" s="1010" t="str">
        <f>'Part VIII-Threshold Criteria'!P363</f>
        <v>No</v>
      </c>
      <c r="Q1272" s="1010">
        <f>'Part VIII-Threshold Criteria'!Q363</f>
        <v>0</v>
      </c>
    </row>
    <row r="1273" spans="1:17">
      <c r="A1273" s="1006"/>
      <c r="B1273" s="990" t="s">
        <v>2254</v>
      </c>
      <c r="C1273" s="583" t="s">
        <v>2872</v>
      </c>
      <c r="E1273" s="996"/>
      <c r="O1273" s="989" t="s">
        <v>2254</v>
      </c>
      <c r="P1273" s="1010" t="str">
        <f>'Part VIII-Threshold Criteria'!P364</f>
        <v>No</v>
      </c>
      <c r="Q1273" s="1010">
        <f>'Part VIII-Threshold Criteria'!Q364</f>
        <v>0</v>
      </c>
    </row>
    <row r="1274" spans="1:17">
      <c r="B1274" s="990" t="s">
        <v>1858</v>
      </c>
      <c r="C1274" s="583" t="s">
        <v>2218</v>
      </c>
      <c r="E1274" s="996"/>
      <c r="G1274" s="989" t="s">
        <v>1858</v>
      </c>
      <c r="H1274" s="1580">
        <f>'Part VIII-Threshold Criteria'!H365</f>
        <v>0</v>
      </c>
      <c r="I1274" s="1580"/>
      <c r="J1274" s="1580"/>
      <c r="K1274" s="1580"/>
      <c r="L1274" s="1580"/>
      <c r="M1274" s="1580"/>
      <c r="N1274" s="1580"/>
      <c r="O1274" s="1580"/>
      <c r="P1274" s="1010">
        <f>'Part VIII-Threshold Criteria'!P365</f>
        <v>0</v>
      </c>
      <c r="Q1274" s="1010">
        <f>'Part VIII-Threshold Criteria'!Q365</f>
        <v>0</v>
      </c>
    </row>
    <row r="1275" spans="1:17">
      <c r="B1275" s="1003" t="s">
        <v>1996</v>
      </c>
      <c r="D1275" s="1003"/>
      <c r="E1275" s="1003"/>
      <c r="F1275" s="1003"/>
      <c r="G1275" s="1003"/>
      <c r="H1275" s="988"/>
      <c r="I1275" s="985"/>
      <c r="J1275" s="985"/>
      <c r="K1275" s="985"/>
      <c r="L1275" s="940"/>
      <c r="M1275" s="940"/>
      <c r="N1275" s="940"/>
      <c r="O1275" s="940"/>
      <c r="P1275" s="940"/>
      <c r="Q1275" s="940"/>
    </row>
    <row r="1276" spans="1:17">
      <c r="A1276" s="1583" t="str">
        <f>'Part VIII-Threshold Criteria'!A367</f>
        <v>The required legal opinion is located at Binder Tab 22 Legal Opinions and Electronic Folder 22LglOpns.</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1997</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2869</v>
      </c>
      <c r="C1280" s="585"/>
      <c r="D1280" s="585"/>
      <c r="E1280" s="585"/>
      <c r="F1280" s="585"/>
      <c r="G1280" s="585"/>
      <c r="H1280" s="994"/>
      <c r="I1280" s="994"/>
      <c r="J1280" s="994"/>
      <c r="K1280" s="994"/>
      <c r="L1280" s="994"/>
      <c r="M1280" s="994"/>
      <c r="O1280" s="986" t="s">
        <v>1998</v>
      </c>
      <c r="P1280" s="1591">
        <f>'Part VIII-Threshold Criteria'!P371</f>
        <v>0</v>
      </c>
      <c r="Q1280" s="1591"/>
    </row>
    <row r="1281" spans="1:17">
      <c r="A1281" s="582"/>
      <c r="B1281" s="990" t="s">
        <v>2119</v>
      </c>
      <c r="C1281" s="583" t="s">
        <v>803</v>
      </c>
      <c r="D1281" s="582"/>
      <c r="E1281" s="582"/>
      <c r="F1281" s="582"/>
      <c r="G1281" s="582"/>
      <c r="H1281" s="582"/>
      <c r="I1281" s="582"/>
      <c r="J1281" s="582"/>
      <c r="K1281" s="582"/>
      <c r="L1281" s="582"/>
      <c r="M1281" s="582"/>
      <c r="N1281" s="582"/>
      <c r="O1281" s="989" t="s">
        <v>2119</v>
      </c>
      <c r="P1281" s="1010" t="str">
        <f>'Part VIII-Threshold Criteria'!P372</f>
        <v>Yes</v>
      </c>
      <c r="Q1281" s="1010">
        <f>'Part VIII-Threshold Criteria'!Q372</f>
        <v>0</v>
      </c>
    </row>
    <row r="1282" spans="1:17">
      <c r="A1282" s="582"/>
      <c r="B1282" s="990" t="s">
        <v>2122</v>
      </c>
      <c r="C1282" s="583" t="s">
        <v>2344</v>
      </c>
      <c r="D1282" s="582"/>
      <c r="E1282" s="582"/>
      <c r="F1282" s="582"/>
      <c r="G1282" s="582"/>
      <c r="H1282" s="582"/>
      <c r="I1282" s="582"/>
      <c r="J1282" s="582"/>
      <c r="K1282" s="582"/>
      <c r="L1282" s="582"/>
      <c r="M1282" s="582"/>
      <c r="N1282" s="582"/>
      <c r="O1282" s="989" t="s">
        <v>1543</v>
      </c>
      <c r="P1282" s="1010" t="str">
        <f>'Part VIII-Threshold Criteria'!P373</f>
        <v>No</v>
      </c>
      <c r="Q1282" s="1010">
        <f>'Part VIII-Threshold Criteria'!Q373</f>
        <v>0</v>
      </c>
    </row>
    <row r="1283" spans="1:17">
      <c r="A1283" s="582"/>
      <c r="B1283" s="990"/>
      <c r="C1283" s="583" t="s">
        <v>1586</v>
      </c>
      <c r="D1283" s="583"/>
      <c r="E1283" s="583"/>
      <c r="F1283" s="583"/>
      <c r="G1283" s="583"/>
      <c r="H1283" s="583"/>
      <c r="I1283" s="583"/>
      <c r="J1283" s="583"/>
      <c r="K1283" s="583"/>
      <c r="L1283" s="583"/>
      <c r="M1283" s="583"/>
      <c r="N1283" s="582"/>
    </row>
    <row r="1284" spans="1:17">
      <c r="A1284" s="582"/>
      <c r="B1284" s="990"/>
      <c r="C1284" s="583" t="s">
        <v>2345</v>
      </c>
      <c r="D1284" s="583"/>
      <c r="E1284" s="583"/>
      <c r="F1284" s="583"/>
      <c r="G1284" s="583"/>
      <c r="H1284" s="583"/>
      <c r="I1284" s="583"/>
      <c r="J1284" s="583"/>
      <c r="K1284" s="583"/>
      <c r="L1284" s="583"/>
      <c r="M1284" s="583"/>
      <c r="N1284" s="582"/>
      <c r="O1284" s="989" t="s">
        <v>1861</v>
      </c>
      <c r="P1284" s="1010" t="str">
        <f>'Part VIII-Threshold Criteria'!P375</f>
        <v>No</v>
      </c>
      <c r="Q1284" s="1010">
        <f>'Part VIII-Threshold Criteria'!Q375</f>
        <v>0</v>
      </c>
    </row>
    <row r="1285" spans="1:17">
      <c r="A1285" s="582"/>
      <c r="B1285" s="990" t="s">
        <v>800</v>
      </c>
      <c r="C1285" s="1580" t="s">
        <v>2343</v>
      </c>
      <c r="D1285" s="1580"/>
      <c r="E1285" s="1580"/>
      <c r="F1285" s="1580"/>
      <c r="G1285" s="1580"/>
      <c r="H1285" s="1580"/>
      <c r="I1285" s="1580"/>
      <c r="J1285" s="1580"/>
      <c r="K1285" s="1580"/>
      <c r="L1285" s="1580"/>
      <c r="M1285" s="1580"/>
      <c r="N1285" s="1580"/>
      <c r="O1285" s="989" t="s">
        <v>800</v>
      </c>
      <c r="P1285" s="1010" t="str">
        <f>'Part VIII-Threshold Criteria'!P376</f>
        <v>Yes</v>
      </c>
      <c r="Q1285" s="1010">
        <f>'Part VIII-Threshold Criteria'!Q376</f>
        <v>0</v>
      </c>
    </row>
    <row r="1286" spans="1:17">
      <c r="A1286" s="582"/>
      <c r="B1286" s="990" t="s">
        <v>2254</v>
      </c>
      <c r="C1286" s="988" t="s">
        <v>3284</v>
      </c>
      <c r="D1286" s="988"/>
      <c r="E1286" s="988"/>
      <c r="F1286" s="988"/>
      <c r="G1286" s="988"/>
      <c r="H1286" s="988"/>
      <c r="I1286" s="988"/>
      <c r="J1286" s="988"/>
      <c r="K1286" s="988"/>
      <c r="L1286" s="988"/>
      <c r="M1286" s="988"/>
      <c r="N1286" s="582"/>
      <c r="O1286" s="989"/>
      <c r="P1286" s="582"/>
      <c r="Q1286" s="582"/>
    </row>
    <row r="1287" spans="1:17">
      <c r="A1287" s="582"/>
      <c r="B1287" s="990"/>
      <c r="C1287" s="583" t="s">
        <v>2346</v>
      </c>
      <c r="D1287" s="583"/>
      <c r="E1287" s="582"/>
      <c r="F1287" s="988"/>
      <c r="G1287" s="833">
        <f>'Part VIII-Threshold Criteria'!G378</f>
        <v>0</v>
      </c>
      <c r="H1287" s="833" t="str">
        <f>'Part VIII-Threshold Criteria'!H378</f>
        <v xml:space="preserve"> </v>
      </c>
      <c r="J1287" s="583" t="s">
        <v>2349</v>
      </c>
      <c r="K1287" s="988"/>
      <c r="N1287" s="833">
        <f>'Part VIII-Threshold Criteria'!N378</f>
        <v>31</v>
      </c>
      <c r="O1287" s="833" t="str">
        <f>'Part VIII-Threshold Criteria'!O378</f>
        <v xml:space="preserve"> </v>
      </c>
    </row>
    <row r="1288" spans="1:17">
      <c r="A1288" s="582"/>
      <c r="B1288" s="990"/>
      <c r="C1288" s="583" t="s">
        <v>2347</v>
      </c>
      <c r="D1288" s="583"/>
      <c r="E1288" s="582"/>
      <c r="F1288" s="988"/>
      <c r="G1288" s="833">
        <f>'Part VIII-Threshold Criteria'!G379</f>
        <v>0</v>
      </c>
      <c r="H1288" s="833">
        <f>'Part VIII-Threshold Criteria'!H379</f>
        <v>0</v>
      </c>
      <c r="J1288" s="583" t="s">
        <v>2350</v>
      </c>
      <c r="K1288" s="988"/>
      <c r="N1288" s="833">
        <f>'Part VIII-Threshold Criteria'!N379</f>
        <v>0</v>
      </c>
      <c r="O1288" s="833">
        <f>'Part VIII-Threshold Criteria'!O379</f>
        <v>0</v>
      </c>
    </row>
    <row r="1289" spans="1:17">
      <c r="A1289" s="582"/>
      <c r="B1289" s="990"/>
      <c r="C1289" s="583" t="s">
        <v>2348</v>
      </c>
      <c r="D1289" s="583"/>
      <c r="E1289" s="582"/>
      <c r="F1289" s="988"/>
      <c r="G1289" s="833">
        <f>'Part VIII-Threshold Criteria'!G380</f>
        <v>31</v>
      </c>
      <c r="H1289" s="833" t="str">
        <f>'Part VIII-Threshold Criteria'!H380</f>
        <v xml:space="preserve"> </v>
      </c>
      <c r="K1289" s="988"/>
      <c r="L1289" s="988"/>
      <c r="M1289" s="988"/>
      <c r="N1289" s="582"/>
      <c r="O1289" s="989"/>
    </row>
    <row r="1290" spans="1:17">
      <c r="A1290" s="582"/>
      <c r="B1290" s="990" t="s">
        <v>1858</v>
      </c>
      <c r="C1290" s="988" t="s">
        <v>2542</v>
      </c>
      <c r="D1290" s="988"/>
      <c r="E1290" s="988"/>
      <c r="F1290" s="988"/>
      <c r="G1290" s="988"/>
      <c r="J1290" s="582"/>
      <c r="K1290" s="988"/>
      <c r="L1290" s="988"/>
      <c r="M1290" s="988"/>
      <c r="N1290" s="582"/>
      <c r="O1290" s="989"/>
      <c r="P1290" s="989"/>
      <c r="Q1290" s="989"/>
    </row>
    <row r="1291" spans="1:17">
      <c r="A1291" s="582"/>
      <c r="B1291" s="990"/>
      <c r="C1291" s="565" t="s">
        <v>2351</v>
      </c>
      <c r="D1291" s="988"/>
      <c r="E1291" s="988"/>
      <c r="F1291" s="988"/>
      <c r="G1291" s="833" t="str">
        <f>'Part VIII-Threshold Criteria'!G382</f>
        <v>Yes</v>
      </c>
      <c r="H1291" s="833">
        <f>'Part VIII-Threshold Criteria'!H382</f>
        <v>0</v>
      </c>
      <c r="J1291" s="565" t="s">
        <v>1254</v>
      </c>
      <c r="K1291" s="988"/>
      <c r="N1291" s="833" t="str">
        <f>'Part VIII-Threshold Criteria'!N382</f>
        <v>Yes</v>
      </c>
      <c r="O1291" s="833">
        <f>'Part VIII-Threshold Criteria'!O382</f>
        <v>0</v>
      </c>
    </row>
    <row r="1292" spans="1:17">
      <c r="A1292" s="582"/>
      <c r="B1292" s="990"/>
      <c r="C1292" s="565" t="s">
        <v>1253</v>
      </c>
      <c r="D1292" s="988"/>
      <c r="E1292" s="988"/>
      <c r="F1292" s="988"/>
      <c r="G1292" s="833" t="str">
        <f>'Part VIII-Threshold Criteria'!G383</f>
        <v>Yes</v>
      </c>
      <c r="H1292" s="833">
        <f>'Part VIII-Threshold Criteria'!H383</f>
        <v>0</v>
      </c>
      <c r="J1292" s="565" t="s">
        <v>2402</v>
      </c>
      <c r="N1292" s="1718">
        <f>'Part VIII-Threshold Criteria'!N383</f>
        <v>0</v>
      </c>
      <c r="O1292" s="1718"/>
      <c r="P1292" s="1718"/>
      <c r="Q1292" s="1718"/>
    </row>
    <row r="1293" spans="1:17">
      <c r="B1293" s="1003" t="s">
        <v>1996</v>
      </c>
      <c r="D1293" s="1003"/>
      <c r="E1293" s="1003"/>
      <c r="F1293" s="1003"/>
      <c r="G1293" s="1003"/>
      <c r="H1293" s="988"/>
      <c r="I1293" s="985"/>
      <c r="J1293" s="985"/>
      <c r="K1293" s="985"/>
      <c r="P1293" s="940"/>
      <c r="Q1293" s="940"/>
    </row>
    <row r="1294" spans="1:17">
      <c r="A1294" s="1583" t="str">
        <f>'Part VIII-Threshold Criteria'!A385</f>
        <v>There are currently no over income, rent burdened, or tenants that will be discplaced.  The relocation documentation is located under Binder Tab 23 and Electronic Folder 23Reloc.</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1997</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3285</v>
      </c>
      <c r="C1298" s="585"/>
      <c r="D1298" s="984"/>
      <c r="E1298" s="994"/>
      <c r="F1298" s="994"/>
      <c r="G1298" s="994"/>
      <c r="H1298" s="994"/>
      <c r="O1298" s="986" t="s">
        <v>1998</v>
      </c>
      <c r="P1298" s="1591">
        <f>'Part VIII-Threshold Criteria'!P389</f>
        <v>0</v>
      </c>
      <c r="Q1298" s="1591"/>
    </row>
    <row r="1299" spans="1:17">
      <c r="A1299" s="1007"/>
      <c r="B1299" s="987" t="s">
        <v>2119</v>
      </c>
      <c r="C1299" s="1587" t="s">
        <v>3286</v>
      </c>
      <c r="D1299" s="1587"/>
      <c r="E1299" s="1587"/>
      <c r="F1299" s="1587"/>
      <c r="G1299" s="1587"/>
      <c r="H1299" s="1587"/>
      <c r="I1299" s="1587"/>
      <c r="J1299" s="1587"/>
      <c r="K1299" s="1587"/>
      <c r="L1299" s="1587"/>
      <c r="M1299" s="1587"/>
      <c r="N1299" s="1587"/>
      <c r="O1299" s="1008" t="s">
        <v>2119</v>
      </c>
      <c r="P1299" s="1010" t="str">
        <f>'Part VIII-Threshold Criteria'!P390</f>
        <v>Agree</v>
      </c>
      <c r="Q1299" s="1010">
        <f>'Part VIII-Threshold Criteria'!Q390</f>
        <v>0</v>
      </c>
    </row>
    <row r="1300" spans="1:17">
      <c r="A1300" s="1007"/>
      <c r="B1300" s="987" t="s">
        <v>2122</v>
      </c>
      <c r="C1300" s="1587" t="s">
        <v>3287</v>
      </c>
      <c r="D1300" s="1587"/>
      <c r="E1300" s="1587"/>
      <c r="F1300" s="1587"/>
      <c r="G1300" s="1587"/>
      <c r="H1300" s="1587"/>
      <c r="I1300" s="1587"/>
      <c r="J1300" s="1587"/>
      <c r="K1300" s="1587"/>
      <c r="L1300" s="1587"/>
      <c r="M1300" s="1587"/>
      <c r="N1300" s="1587"/>
      <c r="O1300" s="1008" t="s">
        <v>2122</v>
      </c>
      <c r="P1300" s="1010" t="str">
        <f>'Part VIII-Threshold Criteria'!P391</f>
        <v>Agree</v>
      </c>
      <c r="Q1300" s="1010">
        <f>'Part VIII-Threshold Criteria'!Q391</f>
        <v>0</v>
      </c>
    </row>
    <row r="1301" spans="1:17">
      <c r="A1301" s="1007"/>
      <c r="B1301" s="987" t="s">
        <v>800</v>
      </c>
      <c r="C1301" s="1587" t="s">
        <v>3288</v>
      </c>
      <c r="D1301" s="1587"/>
      <c r="E1301" s="1587"/>
      <c r="F1301" s="1587"/>
      <c r="G1301" s="1587"/>
      <c r="H1301" s="1587"/>
      <c r="I1301" s="1587"/>
      <c r="J1301" s="1587"/>
      <c r="K1301" s="1587"/>
      <c r="L1301" s="1587"/>
      <c r="M1301" s="1587"/>
      <c r="N1301" s="1587"/>
      <c r="O1301" s="1008" t="s">
        <v>800</v>
      </c>
      <c r="P1301" s="1010" t="str">
        <f>'Part VIII-Threshold Criteria'!P392</f>
        <v>Agree</v>
      </c>
      <c r="Q1301" s="1010">
        <f>'Part VIII-Threshold Criteria'!Q392</f>
        <v>0</v>
      </c>
    </row>
    <row r="1302" spans="1:17">
      <c r="A1302" s="1007"/>
      <c r="B1302" s="987" t="s">
        <v>2254</v>
      </c>
      <c r="C1302" s="1587" t="s">
        <v>3289</v>
      </c>
      <c r="D1302" s="1587"/>
      <c r="E1302" s="1587"/>
      <c r="F1302" s="1587"/>
      <c r="G1302" s="1587"/>
      <c r="H1302" s="1587"/>
      <c r="I1302" s="1587"/>
      <c r="J1302" s="1587"/>
      <c r="K1302" s="1587"/>
      <c r="L1302" s="1587"/>
      <c r="M1302" s="1587"/>
      <c r="N1302" s="1587"/>
      <c r="O1302" s="1008" t="s">
        <v>2254</v>
      </c>
      <c r="P1302" s="1010" t="str">
        <f>'Part VIII-Threshold Criteria'!P393</f>
        <v>Agree</v>
      </c>
      <c r="Q1302" s="1010">
        <f>'Part VIII-Threshold Criteria'!Q393</f>
        <v>0</v>
      </c>
    </row>
    <row r="1303" spans="1:17">
      <c r="A1303" s="1007"/>
      <c r="B1303" s="987" t="s">
        <v>1858</v>
      </c>
      <c r="C1303" s="1587" t="s">
        <v>3290</v>
      </c>
      <c r="D1303" s="1587"/>
      <c r="E1303" s="1587"/>
      <c r="F1303" s="1587"/>
      <c r="G1303" s="1587"/>
      <c r="H1303" s="1587"/>
      <c r="I1303" s="1587"/>
      <c r="J1303" s="1587"/>
      <c r="K1303" s="1587"/>
      <c r="L1303" s="1587"/>
      <c r="M1303" s="1587"/>
      <c r="N1303" s="1587"/>
      <c r="O1303" s="1008" t="s">
        <v>1858</v>
      </c>
      <c r="P1303" s="1010" t="str">
        <f>'Part VIII-Threshold Criteria'!P394</f>
        <v>Agree</v>
      </c>
      <c r="Q1303" s="1010">
        <f>'Part VIII-Threshold Criteria'!Q394</f>
        <v>0</v>
      </c>
    </row>
    <row r="1304" spans="1:17">
      <c r="A1304" s="1007"/>
      <c r="B1304" s="987" t="s">
        <v>1859</v>
      </c>
      <c r="C1304" s="1587" t="s">
        <v>3291</v>
      </c>
      <c r="D1304" s="1587"/>
      <c r="E1304" s="1587"/>
      <c r="F1304" s="1587"/>
      <c r="G1304" s="1587"/>
      <c r="H1304" s="1587"/>
      <c r="I1304" s="1587"/>
      <c r="J1304" s="1587"/>
      <c r="K1304" s="1587"/>
      <c r="L1304" s="1587"/>
      <c r="M1304" s="1587"/>
      <c r="N1304" s="1587"/>
      <c r="O1304" s="1008" t="s">
        <v>1859</v>
      </c>
      <c r="P1304" s="1010" t="str">
        <f>'Part VIII-Threshold Criteria'!P395</f>
        <v>Agree</v>
      </c>
      <c r="Q1304" s="1010">
        <f>'Part VIII-Threshold Criteria'!Q395</f>
        <v>0</v>
      </c>
    </row>
    <row r="1305" spans="1:17">
      <c r="A1305" s="1007"/>
      <c r="B1305" s="987" t="s">
        <v>2082</v>
      </c>
      <c r="C1305" s="1587" t="s">
        <v>2904</v>
      </c>
      <c r="D1305" s="1587"/>
      <c r="E1305" s="1587"/>
      <c r="F1305" s="1587"/>
      <c r="G1305" s="1587"/>
      <c r="H1305" s="1587"/>
      <c r="I1305" s="1587"/>
      <c r="J1305" s="1587"/>
      <c r="K1305" s="1587"/>
      <c r="L1305" s="1587"/>
      <c r="M1305" s="1587"/>
      <c r="N1305" s="1587"/>
      <c r="O1305" s="1008" t="s">
        <v>2082</v>
      </c>
      <c r="P1305" s="1010" t="str">
        <f>'Part VIII-Threshold Criteria'!P396</f>
        <v>Agree</v>
      </c>
      <c r="Q1305" s="1010">
        <f>'Part VIII-Threshold Criteria'!Q396</f>
        <v>0</v>
      </c>
    </row>
    <row r="1306" spans="1:17">
      <c r="B1306" s="1003" t="s">
        <v>1996</v>
      </c>
      <c r="D1306" s="1003"/>
      <c r="E1306" s="1003"/>
      <c r="F1306" s="1003"/>
      <c r="G1306" s="1003"/>
      <c r="H1306" s="988"/>
      <c r="I1306" s="985"/>
      <c r="J1306" s="985"/>
      <c r="K1306" s="985"/>
      <c r="L1306" s="940"/>
      <c r="M1306" s="940"/>
      <c r="N1306" s="940"/>
      <c r="O1306" s="940"/>
      <c r="P1306" s="940"/>
      <c r="Q1306" s="940"/>
    </row>
    <row r="1307" spans="1:17">
      <c r="A1307" s="1583" t="str">
        <f>'Part VIII-Threshold Criteria'!A398</f>
        <v>The Affirmative Fair Housing Marketing Plan is located at Binder Tab 21 and Electronic Folder 21AddHudReq.</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1997</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2870</v>
      </c>
      <c r="C1311" s="585"/>
      <c r="D1311" s="984"/>
      <c r="E1311" s="994"/>
      <c r="F1311" s="994"/>
      <c r="G1311" s="994"/>
      <c r="H1311" s="994"/>
      <c r="I1311" s="994"/>
      <c r="J1311" s="994"/>
      <c r="K1311" s="994"/>
      <c r="L1311" s="994"/>
      <c r="M1311" s="994"/>
      <c r="O1311" s="986" t="s">
        <v>1998</v>
      </c>
      <c r="P1311" s="1591">
        <f>'Part VIII-Threshold Criteria'!P402</f>
        <v>0</v>
      </c>
      <c r="Q1311" s="1591"/>
    </row>
    <row r="1312" spans="1:17">
      <c r="A1312" s="935"/>
      <c r="B1312" s="1003" t="s">
        <v>1996</v>
      </c>
      <c r="D1312" s="1003"/>
      <c r="E1312" s="1003"/>
      <c r="F1312" s="1003"/>
      <c r="G1312" s="1003"/>
      <c r="H1312" s="988"/>
      <c r="I1312" s="985"/>
      <c r="J1312" s="985"/>
      <c r="K1312" s="985"/>
      <c r="L1312" s="940"/>
      <c r="M1312" s="940"/>
      <c r="N1312" s="940"/>
      <c r="O1312" s="940"/>
      <c r="P1312" s="940"/>
      <c r="Q1312" s="940"/>
    </row>
    <row r="1313" spans="1:21">
      <c r="A1313" s="1583">
        <f>'Part VIII-Threshold Criteria'!A404</f>
        <v>0</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1997</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2014-051 Macon Gardens,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2364</v>
      </c>
      <c r="N1321" s="830"/>
      <c r="O1321" s="938" t="s">
        <v>2363</v>
      </c>
      <c r="P1321" s="836" t="s">
        <v>271</v>
      </c>
      <c r="U1321" s="938" t="s">
        <v>2363</v>
      </c>
    </row>
    <row r="1322" spans="1:21" ht="14.25">
      <c r="A1322" s="582"/>
      <c r="B1322" s="582"/>
      <c r="C1322" s="582"/>
      <c r="D1322" s="582"/>
      <c r="E1322" s="582"/>
      <c r="F1322" s="582"/>
      <c r="G1322" s="582"/>
      <c r="H1322" s="582"/>
      <c r="I1322" s="582"/>
      <c r="J1322" s="582"/>
      <c r="K1322" s="582"/>
      <c r="L1322" s="1023"/>
      <c r="M1322" s="1022" t="s">
        <v>96</v>
      </c>
      <c r="N1322" s="585"/>
      <c r="O1322" s="938" t="s">
        <v>2364</v>
      </c>
      <c r="P1322" s="836" t="s">
        <v>2364</v>
      </c>
      <c r="Q1322" s="1023"/>
      <c r="U1322" s="938" t="s">
        <v>2364</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3602</v>
      </c>
    </row>
    <row r="1324" spans="1:21" ht="15.75">
      <c r="A1324" s="582"/>
      <c r="B1324" s="582"/>
      <c r="C1324" s="582"/>
      <c r="D1324" s="582"/>
      <c r="E1324" s="582"/>
      <c r="F1324" s="582"/>
      <c r="G1324" s="582"/>
      <c r="H1324" s="1023"/>
      <c r="I1324" s="582"/>
      <c r="J1324" s="582"/>
      <c r="K1324" s="1023"/>
      <c r="L1324" s="1024" t="s">
        <v>1304</v>
      </c>
      <c r="M1324" s="1025">
        <f>M1670</f>
        <v>87</v>
      </c>
      <c r="N1324" s="966"/>
      <c r="O1324" s="1025">
        <f>O1670</f>
        <v>48</v>
      </c>
      <c r="P1324" s="1025">
        <f>P1670</f>
        <v>10</v>
      </c>
      <c r="Q1324" s="1023"/>
      <c r="U1324" s="1025">
        <f>U1670</f>
        <v>48</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2123</v>
      </c>
      <c r="B1326" s="1027" t="s">
        <v>3238</v>
      </c>
      <c r="C1326" s="585"/>
      <c r="D1326" s="585"/>
      <c r="E1326" s="585"/>
      <c r="F1326" s="585"/>
      <c r="G1326" s="582"/>
      <c r="H1326" s="991" t="s">
        <v>1732</v>
      </c>
      <c r="I1326" s="582"/>
      <c r="J1326" s="582"/>
      <c r="K1326" s="582"/>
      <c r="L1326" s="582"/>
      <c r="M1326" s="938">
        <v>10</v>
      </c>
      <c r="N1326" s="1028"/>
      <c r="O1326" s="1025">
        <f>MIN($M1326, $M1326-O1328-O1330-O1329)</f>
        <v>10</v>
      </c>
      <c r="P1326" s="1025">
        <f>MIN($M1326, $M1326-P1328-P1330-P1329)</f>
        <v>10</v>
      </c>
      <c r="Q1326" s="938" t="s">
        <v>464</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2119</v>
      </c>
      <c r="B1328" s="937" t="s">
        <v>1999</v>
      </c>
      <c r="C1328" s="582"/>
      <c r="D1328" s="586"/>
      <c r="E1328" s="586"/>
      <c r="F1328" s="985" t="s">
        <v>2766</v>
      </c>
      <c r="G1328" s="988">
        <f>F1334</f>
        <v>0</v>
      </c>
      <c r="H1328" s="857" t="s">
        <v>3527</v>
      </c>
      <c r="I1328" s="582"/>
      <c r="J1328" s="582"/>
      <c r="K1328" s="582"/>
      <c r="L1328" s="582"/>
      <c r="M1328" s="830"/>
      <c r="N1328" s="989" t="s">
        <v>2119</v>
      </c>
      <c r="O1328" s="1025">
        <f>'Part IX A-Scoring Criteria'!O10</f>
        <v>0</v>
      </c>
      <c r="P1328" s="1025">
        <f>'Part IX A-Scoring Criteria'!P10</f>
        <v>0</v>
      </c>
      <c r="Q1328" s="582"/>
    </row>
    <row r="1329" spans="1:17" ht="15">
      <c r="A1329" s="997"/>
      <c r="B1329" s="586" t="s">
        <v>2252</v>
      </c>
      <c r="C1329" s="1029"/>
      <c r="D1329" s="586"/>
      <c r="E1329" s="586"/>
      <c r="F1329" s="985" t="s">
        <v>2766</v>
      </c>
      <c r="G1329" s="988">
        <f>P1334</f>
        <v>0</v>
      </c>
      <c r="H1329" s="857" t="s">
        <v>3158</v>
      </c>
      <c r="I1329" s="1029"/>
      <c r="J1329" s="991"/>
      <c r="K1329" s="1029"/>
      <c r="L1329" s="1029"/>
      <c r="M1329" s="830">
        <v>1</v>
      </c>
      <c r="N1329" s="989"/>
      <c r="O1329" s="1025">
        <f>'Part IX A-Scoring Criteria'!O11</f>
        <v>0</v>
      </c>
      <c r="P1329" s="1025">
        <f>'Part IX A-Scoring Criteria'!P11</f>
        <v>0</v>
      </c>
      <c r="Q1329" s="1029"/>
    </row>
    <row r="1330" spans="1:17">
      <c r="A1330" s="997" t="s">
        <v>2122</v>
      </c>
      <c r="B1330" s="937" t="s">
        <v>777</v>
      </c>
      <c r="C1330" s="582"/>
      <c r="D1330" s="586"/>
      <c r="E1330" s="586"/>
      <c r="F1330" s="985" t="s">
        <v>2766</v>
      </c>
      <c r="G1330" s="988">
        <f>K1334</f>
        <v>0</v>
      </c>
      <c r="H1330" s="857" t="s">
        <v>3689</v>
      </c>
      <c r="I1330" s="582"/>
      <c r="J1330" s="991"/>
      <c r="K1330" s="582"/>
      <c r="L1330" s="582"/>
      <c r="M1330" s="830"/>
      <c r="N1330" s="989" t="s">
        <v>2122</v>
      </c>
      <c r="O1330" s="1025">
        <f>'Part IX A-Scoring Criteria'!O12</f>
        <v>0</v>
      </c>
      <c r="P1330" s="1025">
        <f>'Part IX A-Scoring Criteria'!P12</f>
        <v>0</v>
      </c>
      <c r="Q1330" s="938"/>
    </row>
    <row r="1331" spans="1:17" ht="15">
      <c r="A1331" s="991" t="s">
        <v>270</v>
      </c>
      <c r="B1331" s="582"/>
      <c r="C1331" s="582"/>
      <c r="D1331" s="586"/>
      <c r="E1331" s="586"/>
      <c r="F1331" s="586"/>
      <c r="G1331" s="586"/>
      <c r="H1331" s="583"/>
      <c r="I1331" s="583"/>
      <c r="J1331" s="583"/>
      <c r="K1331" s="583"/>
      <c r="L1331" s="1029"/>
      <c r="M1331" s="830"/>
      <c r="N1331" s="834"/>
      <c r="O1331" s="1025"/>
      <c r="P1331" s="836"/>
      <c r="Q1331" s="582"/>
    </row>
    <row r="1332" spans="1:17" ht="15.75">
      <c r="A1332" s="1583">
        <f>'Part IX A-Scoring Criteria'!A14</f>
        <v>0</v>
      </c>
      <c r="B1332" s="1583"/>
      <c r="C1332" s="1583"/>
      <c r="D1332" s="1583"/>
      <c r="E1332" s="1583"/>
      <c r="F1332" s="1583"/>
      <c r="G1332" s="1583"/>
      <c r="H1332" s="1583"/>
      <c r="I1332" s="1583"/>
      <c r="J1332" s="1583"/>
      <c r="K1332" s="1583"/>
      <c r="L1332" s="1583"/>
      <c r="M1332" s="1583"/>
      <c r="N1332" s="1583"/>
      <c r="O1332" s="1583"/>
      <c r="P1332" s="1583"/>
      <c r="Q1332" s="1030" t="s">
        <v>1333</v>
      </c>
    </row>
    <row r="1333" spans="1:17">
      <c r="A1333" s="991" t="s">
        <v>1997</v>
      </c>
      <c r="B1333" s="582"/>
      <c r="C1333" s="582"/>
      <c r="D1333" s="582"/>
      <c r="E1333" s="582"/>
      <c r="F1333" s="985" t="s">
        <v>1836</v>
      </c>
      <c r="G1333" s="582"/>
      <c r="H1333" s="582"/>
      <c r="I1333" s="582"/>
      <c r="J1333" s="582"/>
      <c r="K1333" s="985" t="s">
        <v>1836</v>
      </c>
      <c r="L1333" s="582"/>
      <c r="M1333" s="582"/>
      <c r="N1333" s="582"/>
      <c r="O1333" s="582"/>
      <c r="P1333" s="989" t="s">
        <v>1836</v>
      </c>
      <c r="Q1333" s="582"/>
    </row>
    <row r="1334" spans="1:17">
      <c r="A1334" s="1618" t="s">
        <v>2564</v>
      </c>
      <c r="B1334" s="1618"/>
      <c r="C1334" s="1618"/>
      <c r="D1334" s="1618"/>
      <c r="E1334" s="989" t="s">
        <v>542</v>
      </c>
      <c r="F1334" s="938">
        <f>SUM(F1335:F1346)</f>
        <v>0</v>
      </c>
      <c r="G1334" s="1618" t="s">
        <v>2565</v>
      </c>
      <c r="H1334" s="1618"/>
      <c r="I1334" s="1618"/>
      <c r="J1334" s="989" t="s">
        <v>542</v>
      </c>
      <c r="K1334" s="938">
        <f>SUM(K1335:K1346)</f>
        <v>0</v>
      </c>
      <c r="L1334" s="1004" t="s">
        <v>3690</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1856</v>
      </c>
      <c r="L1335" s="1604">
        <v>1</v>
      </c>
      <c r="M1335" s="1604"/>
      <c r="N1335" s="1604"/>
      <c r="O1335" s="1604"/>
      <c r="P1335" s="605"/>
      <c r="Q1335" s="1030" t="s">
        <v>1333</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3299</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3299</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2125</v>
      </c>
      <c r="B1348" s="1033" t="s">
        <v>1078</v>
      </c>
      <c r="C1348" s="1029"/>
      <c r="D1348" s="1029"/>
      <c r="E1348" s="583"/>
      <c r="F1348" s="1029"/>
      <c r="G1348" s="1034"/>
      <c r="H1348" s="583"/>
      <c r="I1348" s="1029"/>
      <c r="J1348" s="1035"/>
      <c r="K1348" s="1578" t="s">
        <v>2890</v>
      </c>
      <c r="L1348" s="1578"/>
      <c r="M1348" s="938">
        <v>3</v>
      </c>
      <c r="N1348" s="830"/>
      <c r="O1348" s="966">
        <f>IF($K1350 &gt;= $P1350,$M1350,IF($K1349&gt;=$P1349,$M1349,0))</f>
        <v>3</v>
      </c>
      <c r="P1348" s="966">
        <f>IF($L1350 &gt;= $P1350,$M1350,IF($L1349&gt;=$P1349,$M1349,0))</f>
        <v>0</v>
      </c>
      <c r="Q1348" s="938" t="s">
        <v>464</v>
      </c>
      <c r="U1348" s="1025">
        <f>'Part IX A-Scoring Criteria'!O30</f>
        <v>3</v>
      </c>
    </row>
    <row r="1349" spans="1:21" ht="15">
      <c r="A1349" s="1036" t="s">
        <v>2119</v>
      </c>
      <c r="B1349" s="1037" t="s">
        <v>2810</v>
      </c>
      <c r="C1349" s="1035"/>
      <c r="D1349" s="1035"/>
      <c r="E1349" s="1013"/>
      <c r="F1349" s="1035"/>
      <c r="G1349" s="1035"/>
      <c r="H1349" s="1011" t="s">
        <v>2888</v>
      </c>
      <c r="I1349" s="1038">
        <f>'Part IX A-Scoring Criteria'!I31</f>
        <v>71</v>
      </c>
      <c r="J1349" s="1038"/>
      <c r="K1349" s="1039">
        <f>IF(OR('Part VI-Revenues &amp; Expenses'!$M$60="", 'Part VI-Revenues &amp; Expenses'!$M$60=0),0,I1349/'Part VI-Revenues &amp; Expenses'!$M$60)</f>
        <v>0.53787878787878785</v>
      </c>
      <c r="L1349" s="1039">
        <f>IF(OR('Part VI-Revenues &amp; Expenses'!$M$60="", 'Part VI-Revenues &amp; Expenses'!$M$60=0),0,J1349/'Part VI-Revenues &amp; Expenses'!$M$60)</f>
        <v>0</v>
      </c>
      <c r="M1349" s="830">
        <v>3</v>
      </c>
      <c r="N1349" s="956"/>
      <c r="O1349" s="1613" t="s">
        <v>2912</v>
      </c>
      <c r="P1349" s="1040">
        <v>0.15</v>
      </c>
      <c r="Q1349" s="1035"/>
    </row>
    <row r="1350" spans="1:21" ht="15">
      <c r="A1350" s="1036" t="s">
        <v>2122</v>
      </c>
      <c r="B1350" s="1037" t="s">
        <v>2811</v>
      </c>
      <c r="C1350" s="1035"/>
      <c r="D1350" s="1035"/>
      <c r="E1350" s="1013"/>
      <c r="F1350" s="1035"/>
      <c r="G1350" s="1035"/>
      <c r="H1350" s="1011" t="s">
        <v>2812</v>
      </c>
      <c r="I1350" s="1038">
        <f>'Part IX A-Scoring Criteria'!I32</f>
        <v>0</v>
      </c>
      <c r="J1350" s="1038"/>
      <c r="K1350" s="1039">
        <f>IF(OR('Part VI-Revenues &amp; Expenses'!$M$60="", 'Part VI-Revenues &amp; Expenses'!$M$60=0),0,I1350/'Part VI-Revenues &amp; Expenses'!$M$60)</f>
        <v>0</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270</v>
      </c>
      <c r="C1351" s="582"/>
      <c r="D1351" s="586"/>
      <c r="E1351" s="586"/>
      <c r="F1351" s="586"/>
      <c r="G1351" s="586"/>
      <c r="H1351" s="583"/>
      <c r="I1351" s="583"/>
      <c r="J1351" s="583"/>
      <c r="K1351" s="583"/>
      <c r="L1351" s="1029"/>
      <c r="M1351" s="830"/>
      <c r="N1351" s="834"/>
      <c r="O1351" s="1025"/>
      <c r="P1351" s="836"/>
      <c r="Q1351" s="1029"/>
    </row>
    <row r="1352" spans="1:21" ht="15.75">
      <c r="A1352" s="1583" t="str">
        <f>'Part IX A-Scoring Criteria'!A34</f>
        <v xml:space="preserve">The project is designated at HUD High Priority and will request a 20 Year HAP renewal.    </v>
      </c>
      <c r="B1352" s="1583"/>
      <c r="C1352" s="1583"/>
      <c r="D1352" s="1583"/>
      <c r="E1352" s="1583"/>
      <c r="F1352" s="1583"/>
      <c r="G1352" s="1583"/>
      <c r="H1352" s="1583"/>
      <c r="I1352" s="1583"/>
      <c r="J1352" s="1583"/>
      <c r="K1352" s="1583"/>
      <c r="L1352" s="1583"/>
      <c r="M1352" s="1583"/>
      <c r="N1352" s="1583"/>
      <c r="O1352" s="1583"/>
      <c r="P1352" s="1583"/>
      <c r="Q1352" s="1030" t="s">
        <v>1333</v>
      </c>
    </row>
    <row r="1353" spans="1:21" ht="15">
      <c r="A1353" s="582"/>
      <c r="B1353" s="991" t="s">
        <v>1997</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1333</v>
      </c>
    </row>
    <row r="1355" spans="1:21">
      <c r="N1355" s="834"/>
      <c r="O1355" s="836"/>
      <c r="P1355" s="836"/>
    </row>
    <row r="1356" spans="1:21" ht="15">
      <c r="A1356" s="1026" t="s">
        <v>2708</v>
      </c>
      <c r="B1356" s="1027" t="s">
        <v>2005</v>
      </c>
      <c r="C1356" s="1029"/>
      <c r="D1356" s="1043"/>
      <c r="E1356" s="1029"/>
      <c r="F1356" s="1029"/>
      <c r="G1356" s="1029"/>
      <c r="H1356" s="1614" t="s">
        <v>637</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464</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2119</v>
      </c>
      <c r="B1358" s="937" t="s">
        <v>2006</v>
      </c>
      <c r="C1358" s="585"/>
      <c r="D1358" s="585"/>
      <c r="E1358" s="857" t="s">
        <v>2969</v>
      </c>
      <c r="F1358" s="843"/>
      <c r="G1358" s="843"/>
      <c r="H1358" s="1614"/>
      <c r="I1358" s="1614"/>
      <c r="J1358" s="1614"/>
      <c r="K1358" s="1614"/>
      <c r="L1358" s="1029"/>
      <c r="M1358" s="830">
        <v>12</v>
      </c>
      <c r="N1358" s="1044" t="s">
        <v>2119</v>
      </c>
      <c r="O1358" s="938">
        <f>'Part IX A-Scoring Criteria'!O40</f>
        <v>12</v>
      </c>
      <c r="P1358" s="938"/>
      <c r="Q1358" s="1045" t="s">
        <v>2948</v>
      </c>
    </row>
    <row r="1359" spans="1:21" ht="16.5">
      <c r="A1359" s="997" t="s">
        <v>2122</v>
      </c>
      <c r="B1359" s="937" t="s">
        <v>2007</v>
      </c>
      <c r="C1359" s="1029"/>
      <c r="D1359" s="1043"/>
      <c r="E1359" s="857" t="s">
        <v>448</v>
      </c>
      <c r="F1359" s="1046"/>
      <c r="G1359" s="1046"/>
      <c r="H1359" s="1046"/>
      <c r="I1359" s="1029"/>
      <c r="J1359" s="1029"/>
      <c r="K1359" s="1029"/>
      <c r="L1359" s="1029"/>
      <c r="M1359" s="985" t="s">
        <v>1317</v>
      </c>
      <c r="N1359" s="989" t="s">
        <v>2122</v>
      </c>
      <c r="O1359" s="938">
        <f>'Part IX A-Scoring Criteria'!O41</f>
        <v>0</v>
      </c>
      <c r="P1359" s="938"/>
      <c r="Q1359" s="1045" t="s">
        <v>2948</v>
      </c>
    </row>
    <row r="1360" spans="1:21" ht="15">
      <c r="A1360" s="582"/>
      <c r="B1360" s="991" t="s">
        <v>270</v>
      </c>
      <c r="C1360" s="582"/>
      <c r="D1360" s="586"/>
      <c r="E1360" s="586"/>
      <c r="F1360" s="586"/>
      <c r="G1360" s="586"/>
      <c r="H1360" s="583"/>
      <c r="I1360" s="583"/>
      <c r="J1360" s="583"/>
      <c r="K1360" s="583"/>
      <c r="L1360" s="1029"/>
      <c r="M1360" s="830"/>
      <c r="N1360" s="834"/>
      <c r="O1360" s="1025"/>
      <c r="P1360" s="836"/>
      <c r="Q1360" s="1029"/>
    </row>
    <row r="1361" spans="1:21" ht="15.75">
      <c r="A1361" s="1583" t="str">
        <f>'Part IX A-Scoring Criteria'!A43</f>
        <v>The Benoit Group, LLC has claimed the maximum number of points for desirable activities and/or characteristics loacted within a 2.0 walking/driving distance from the property.  The desirable/undesirable form along with the required maps are located at Binder Tab 24 Desirable/Undesirable adn Electronic Folder 25DesirUndes.</v>
      </c>
      <c r="B1361" s="1583"/>
      <c r="C1361" s="1583"/>
      <c r="D1361" s="1583"/>
      <c r="E1361" s="1583"/>
      <c r="F1361" s="1583"/>
      <c r="G1361" s="1583"/>
      <c r="H1361" s="1583"/>
      <c r="I1361" s="1583"/>
      <c r="J1361" s="1583"/>
      <c r="K1361" s="1583"/>
      <c r="L1361" s="1583"/>
      <c r="M1361" s="1583"/>
      <c r="N1361" s="1583"/>
      <c r="O1361" s="1583"/>
      <c r="P1361" s="1583"/>
      <c r="Q1361" s="1030" t="s">
        <v>1333</v>
      </c>
    </row>
    <row r="1362" spans="1:21" ht="15">
      <c r="A1362" s="582"/>
      <c r="B1362" s="991" t="s">
        <v>1997</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1333</v>
      </c>
    </row>
    <row r="1364" spans="1:21">
      <c r="M1364" s="582"/>
      <c r="N1364" s="830"/>
      <c r="O1364" s="938"/>
      <c r="P1364" s="938"/>
    </row>
    <row r="1365" spans="1:21" ht="15">
      <c r="A1365" s="1026" t="s">
        <v>1302</v>
      </c>
      <c r="B1365" s="1027" t="s">
        <v>2827</v>
      </c>
      <c r="C1365" s="1029"/>
      <c r="D1365" s="1043"/>
      <c r="E1365" s="1029"/>
      <c r="F1365" s="1029"/>
      <c r="G1365" s="1029"/>
      <c r="H1365" s="1047" t="s">
        <v>2891</v>
      </c>
      <c r="I1365" s="991" t="s">
        <v>2013</v>
      </c>
      <c r="J1365" s="586"/>
      <c r="K1365" s="586"/>
      <c r="L1365" s="1029"/>
      <c r="M1365" s="938">
        <v>4</v>
      </c>
      <c r="N1365" s="989"/>
      <c r="O1365" s="966">
        <f>MIN($M1365,(O1367+O1368+O1369+O1370))</f>
        <v>3</v>
      </c>
      <c r="P1365" s="966">
        <f>MIN($M1365,(P1367+P1368+P1369+P1370))</f>
        <v>0</v>
      </c>
      <c r="Q1365" s="938" t="s">
        <v>464</v>
      </c>
      <c r="U1365" s="1025">
        <f>'Part IX A-Scoring Criteria'!O47</f>
        <v>3</v>
      </c>
    </row>
    <row r="1366" spans="1:21" ht="15">
      <c r="A1366" s="1048" t="s">
        <v>3239</v>
      </c>
      <c r="B1366" s="1027"/>
      <c r="C1366" s="1029"/>
      <c r="D1366" s="1043"/>
      <c r="E1366" s="1029"/>
      <c r="F1366" s="1029"/>
      <c r="G1366" s="1029"/>
      <c r="H1366" s="937" t="s">
        <v>3249</v>
      </c>
      <c r="I1366" s="1049"/>
      <c r="J1366" s="937" t="str">
        <f>'Part I-Project Information'!$H$85</f>
        <v>Flexible</v>
      </c>
      <c r="K1366" s="1029"/>
      <c r="M1366" s="938"/>
      <c r="N1366" s="938"/>
      <c r="O1366" s="938"/>
      <c r="P1366" s="938"/>
      <c r="Q1366" s="938"/>
    </row>
    <row r="1367" spans="1:21">
      <c r="A1367" s="1006" t="s">
        <v>2119</v>
      </c>
      <c r="B1367" s="1615" t="s">
        <v>3691</v>
      </c>
      <c r="C1367" s="1615"/>
      <c r="D1367" s="1615"/>
      <c r="E1367" s="1615"/>
      <c r="F1367" s="1615"/>
      <c r="G1367" s="1615"/>
      <c r="H1367" s="1615"/>
      <c r="I1367" s="1615"/>
      <c r="J1367" s="1615"/>
      <c r="K1367" s="1615"/>
      <c r="L1367" s="1615"/>
      <c r="M1367" s="1050">
        <v>4</v>
      </c>
      <c r="N1367" s="1051" t="s">
        <v>2119</v>
      </c>
      <c r="O1367" s="1052">
        <f>'Part IX A-Scoring Criteria'!O49</f>
        <v>0</v>
      </c>
      <c r="P1367" s="1052"/>
      <c r="Q1367" s="1053" t="str">
        <f>IF(OR($O1367=$M1367,$O1367=0,$O1367=""),"","* * Check Score! * *")</f>
        <v/>
      </c>
    </row>
    <row r="1368" spans="1:21">
      <c r="A1368" s="1006" t="s">
        <v>2122</v>
      </c>
      <c r="B1368" s="1615" t="s">
        <v>3692</v>
      </c>
      <c r="C1368" s="1615"/>
      <c r="D1368" s="1615"/>
      <c r="E1368" s="1615"/>
      <c r="F1368" s="1615"/>
      <c r="G1368" s="1615"/>
      <c r="H1368" s="1615"/>
      <c r="I1368" s="1615"/>
      <c r="J1368" s="1615"/>
      <c r="K1368" s="1615"/>
      <c r="L1368" s="1615"/>
      <c r="M1368" s="1050">
        <v>3</v>
      </c>
      <c r="N1368" s="1008" t="s">
        <v>2122</v>
      </c>
      <c r="O1368" s="1052">
        <f>'Part IX A-Scoring Criteria'!O50</f>
        <v>3</v>
      </c>
      <c r="P1368" s="1052"/>
      <c r="Q1368" s="1053" t="str">
        <f>IF(OR($O1368=$M1368,$O1368=0,$O1368=""),"","* * Check Score! * *")</f>
        <v/>
      </c>
    </row>
    <row r="1369" spans="1:21" ht="15">
      <c r="A1369" s="997" t="s">
        <v>800</v>
      </c>
      <c r="B1369" s="937" t="s">
        <v>3693</v>
      </c>
      <c r="C1369" s="1029"/>
      <c r="D1369" s="1029"/>
      <c r="E1369" s="1043"/>
      <c r="F1369" s="1029"/>
      <c r="G1369" s="1029"/>
      <c r="H1369" s="1029"/>
      <c r="I1369" s="1029"/>
      <c r="J1369" s="1029"/>
      <c r="K1369" s="586"/>
      <c r="L1369" s="1029"/>
      <c r="M1369" s="830">
        <v>2</v>
      </c>
      <c r="N1369" s="1044" t="s">
        <v>800</v>
      </c>
      <c r="O1369" s="1052">
        <f>'Part IX A-Scoring Criteria'!O51</f>
        <v>0</v>
      </c>
      <c r="P1369" s="938"/>
      <c r="Q1369" s="1054" t="str">
        <f>IF(OR($O1369=$M1369,$O1369=0,$O1369=""),"","* * Check Score! * *")</f>
        <v/>
      </c>
    </row>
    <row r="1370" spans="1:21" ht="15">
      <c r="A1370" s="997" t="s">
        <v>2254</v>
      </c>
      <c r="B1370" s="937" t="s">
        <v>3694</v>
      </c>
      <c r="C1370" s="1029"/>
      <c r="D1370" s="1029"/>
      <c r="E1370" s="1043"/>
      <c r="F1370" s="1029"/>
      <c r="G1370" s="1029"/>
      <c r="H1370" s="1029"/>
      <c r="I1370" s="1029"/>
      <c r="J1370" s="1029"/>
      <c r="K1370" s="586"/>
      <c r="L1370" s="1029"/>
      <c r="M1370" s="830">
        <v>1</v>
      </c>
      <c r="N1370" s="1044" t="s">
        <v>2254</v>
      </c>
      <c r="O1370" s="1052">
        <f>'Part IX A-Scoring Criteria'!O52</f>
        <v>0</v>
      </c>
      <c r="P1370" s="938"/>
      <c r="Q1370" s="1054"/>
    </row>
    <row r="1371" spans="1:21" ht="15">
      <c r="A1371" s="583" t="s">
        <v>3635</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3242</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1858</v>
      </c>
      <c r="B1373" s="937" t="s">
        <v>3695</v>
      </c>
      <c r="C1373" s="937"/>
      <c r="D1373" s="937"/>
      <c r="E1373" s="937"/>
      <c r="F1373" s="937"/>
      <c r="G1373" s="937"/>
      <c r="H1373" s="937"/>
      <c r="I1373" s="937"/>
      <c r="J1373" s="937"/>
      <c r="K1373" s="937"/>
      <c r="L1373" s="937"/>
      <c r="M1373" s="830">
        <v>2</v>
      </c>
      <c r="N1373" s="1044" t="s">
        <v>1858</v>
      </c>
      <c r="O1373" s="938">
        <f>'Part IX A-Scoring Criteria'!O55</f>
        <v>0</v>
      </c>
      <c r="P1373" s="938"/>
      <c r="Q1373" s="1054"/>
    </row>
    <row r="1374" spans="1:21" ht="15">
      <c r="A1374" s="582"/>
      <c r="B1374" s="991" t="s">
        <v>270</v>
      </c>
      <c r="C1374" s="582"/>
      <c r="D1374" s="586"/>
      <c r="E1374" s="586"/>
      <c r="F1374" s="586"/>
      <c r="G1374" s="586"/>
      <c r="H1374" s="583"/>
      <c r="I1374" s="583"/>
      <c r="J1374" s="583"/>
      <c r="K1374" s="583"/>
      <c r="L1374" s="1055"/>
      <c r="M1374" s="830"/>
      <c r="N1374" s="830"/>
      <c r="O1374" s="1025"/>
      <c r="P1374" s="938"/>
      <c r="Q1374" s="1055"/>
    </row>
    <row r="1375" spans="1:21" ht="15.75">
      <c r="A1375" s="1583" t="str">
        <f>'Part IX A-Scoring Criteria'!A57</f>
        <v>There is a pulblic transportation stop (MTA) located at the entrance to Macon Gardens.  The map, fixed route, daily schedule, rates, and notice of routes are loacted at Binder Tab 25 Transportation and Electronic Folder 25Trans.</v>
      </c>
      <c r="B1375" s="1583"/>
      <c r="C1375" s="1583"/>
      <c r="D1375" s="1583"/>
      <c r="E1375" s="1583"/>
      <c r="F1375" s="1583"/>
      <c r="G1375" s="1583"/>
      <c r="H1375" s="1583"/>
      <c r="I1375" s="1583"/>
      <c r="J1375" s="1583"/>
      <c r="K1375" s="1583"/>
      <c r="L1375" s="1583"/>
      <c r="M1375" s="1583"/>
      <c r="N1375" s="1583"/>
      <c r="O1375" s="1583"/>
      <c r="P1375" s="1583"/>
      <c r="Q1375" s="1030" t="s">
        <v>1333</v>
      </c>
    </row>
    <row r="1376" spans="1:21" ht="15">
      <c r="A1376" s="582"/>
      <c r="B1376" s="991" t="s">
        <v>1997</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1333</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1303</v>
      </c>
      <c r="B1379" s="1027" t="s">
        <v>2828</v>
      </c>
      <c r="C1379" s="1029"/>
      <c r="D1379" s="1043"/>
      <c r="E1379" s="583" t="s">
        <v>1473</v>
      </c>
      <c r="F1379" s="1029"/>
      <c r="G1379" s="1029"/>
      <c r="H1379" s="1029"/>
      <c r="I1379" s="991" t="s">
        <v>2013</v>
      </c>
      <c r="J1379" s="1029"/>
      <c r="K1379" s="1029"/>
      <c r="L1379" s="1029"/>
      <c r="M1379" s="938">
        <v>2</v>
      </c>
      <c r="N1379" s="1057" t="str">
        <f>IF(OR($O1379=$M1379,$O1379=0,$O1379=""),"","***")</f>
        <v/>
      </c>
      <c r="O1379" s="1052">
        <f>'Part IX A-Scoring Criteria'!O61</f>
        <v>0</v>
      </c>
      <c r="P1379" s="938"/>
      <c r="Q1379" s="938" t="s">
        <v>464</v>
      </c>
      <c r="U1379" s="1025">
        <f>'Part IX A-Scoring Criteria'!O61</f>
        <v>0</v>
      </c>
    </row>
    <row r="1380" spans="1:21" ht="15">
      <c r="A1380" s="1026"/>
      <c r="B1380" s="639" t="s">
        <v>2813</v>
      </c>
      <c r="C1380" s="1029"/>
      <c r="D1380" s="1043"/>
      <c r="E1380" s="583"/>
      <c r="F1380" s="1029"/>
      <c r="G1380" s="1029"/>
      <c r="H1380" s="1029"/>
      <c r="I1380" s="1029"/>
      <c r="J1380" s="1029"/>
      <c r="K1380" s="1029"/>
      <c r="L1380" s="1616">
        <f>'Part IX A-Scoring Criteria'!L62</f>
        <v>0</v>
      </c>
      <c r="M1380" s="1616"/>
      <c r="N1380" s="1616"/>
      <c r="O1380" s="1616"/>
      <c r="P1380" s="989"/>
      <c r="Q1380" s="938"/>
    </row>
    <row r="1381" spans="1:21" ht="15">
      <c r="A1381" s="1026"/>
      <c r="B1381" s="639" t="s">
        <v>3240</v>
      </c>
      <c r="C1381" s="1029"/>
      <c r="D1381" s="1043"/>
      <c r="E1381" s="583"/>
      <c r="F1381" s="1029"/>
      <c r="G1381" s="1029"/>
      <c r="H1381" s="1029"/>
      <c r="I1381" s="1029"/>
      <c r="J1381" s="1029"/>
      <c r="K1381" s="1029"/>
      <c r="L1381" s="1616">
        <f>'Part IX A-Scoring Criteria'!L63</f>
        <v>0</v>
      </c>
      <c r="M1381" s="1616"/>
      <c r="N1381" s="1616"/>
      <c r="O1381" s="1616"/>
      <c r="P1381" s="989"/>
      <c r="Q1381" s="938"/>
    </row>
    <row r="1382" spans="1:21" ht="15">
      <c r="A1382" s="582"/>
      <c r="B1382" s="991" t="s">
        <v>270</v>
      </c>
      <c r="C1382" s="582"/>
      <c r="D1382" s="586"/>
      <c r="E1382" s="586"/>
      <c r="F1382" s="586"/>
      <c r="G1382" s="586"/>
      <c r="H1382" s="1055"/>
      <c r="I1382" s="583"/>
      <c r="J1382" s="583"/>
      <c r="K1382" s="583"/>
      <c r="L1382" s="1055"/>
      <c r="M1382" s="830"/>
      <c r="N1382" s="830"/>
      <c r="O1382" s="1025"/>
      <c r="P1382" s="938"/>
      <c r="Q1382" s="1055"/>
    </row>
    <row r="1383" spans="1:21" ht="15.75">
      <c r="A1383" s="1583" t="str">
        <f>'Part IX A-Scoring Criteria'!A65</f>
        <v>N/A</v>
      </c>
      <c r="B1383" s="1583"/>
      <c r="C1383" s="1583"/>
      <c r="D1383" s="1583"/>
      <c r="E1383" s="1583"/>
      <c r="F1383" s="1583"/>
      <c r="G1383" s="1583"/>
      <c r="H1383" s="1583"/>
      <c r="I1383" s="1583"/>
      <c r="J1383" s="1583"/>
      <c r="K1383" s="1583"/>
      <c r="L1383" s="1583"/>
      <c r="M1383" s="1583"/>
      <c r="N1383" s="1583"/>
      <c r="O1383" s="1583"/>
      <c r="P1383" s="1583"/>
      <c r="Q1383" s="1030" t="s">
        <v>1333</v>
      </c>
    </row>
    <row r="1384" spans="1:21" ht="15">
      <c r="A1384" s="582"/>
      <c r="B1384" s="991" t="s">
        <v>1997</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1333</v>
      </c>
    </row>
    <row r="1386" spans="1:21">
      <c r="N1386" s="834"/>
      <c r="O1386" s="836"/>
      <c r="P1386" s="836"/>
    </row>
    <row r="1387" spans="1:21" ht="15">
      <c r="A1387" s="1026" t="s">
        <v>2015</v>
      </c>
      <c r="B1387" s="1027" t="s">
        <v>226</v>
      </c>
      <c r="C1387" s="1029"/>
      <c r="D1387" s="583"/>
      <c r="E1387" s="583"/>
      <c r="F1387" s="1029"/>
      <c r="G1387" s="1029"/>
      <c r="H1387" s="1029"/>
      <c r="I1387" s="1015" t="s">
        <v>3696</v>
      </c>
      <c r="J1387" s="1607" t="str">
        <f>'Part IX A-Scoring Criteria'!J69</f>
        <v>Earth Craft House Multifamily</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464</v>
      </c>
      <c r="U1387" s="1025">
        <f>'Part IX A-Scoring Criteria'!O69</f>
        <v>2</v>
      </c>
    </row>
    <row r="1388" spans="1:21" ht="15">
      <c r="A1388" s="997" t="s">
        <v>2119</v>
      </c>
      <c r="B1388" s="937" t="s">
        <v>2478</v>
      </c>
      <c r="D1388" s="582"/>
      <c r="H1388" s="937" t="s">
        <v>3249</v>
      </c>
      <c r="I1388" s="1049"/>
      <c r="J1388" s="937" t="str">
        <f>'Part I-Project Information'!$H$85</f>
        <v>Flexible</v>
      </c>
      <c r="K1388" s="1029"/>
      <c r="M1388" s="830">
        <v>3</v>
      </c>
      <c r="O1388" s="998" t="s">
        <v>2682</v>
      </c>
      <c r="P1388" s="998" t="s">
        <v>2682</v>
      </c>
    </row>
    <row r="1389" spans="1:21" ht="15">
      <c r="A1389" s="1029"/>
      <c r="B1389" s="999" t="s">
        <v>2919</v>
      </c>
      <c r="C1389" s="1029"/>
      <c r="D1389" s="1043"/>
      <c r="E1389" s="1029"/>
      <c r="F1389" s="1029"/>
      <c r="G1389" s="1029"/>
      <c r="H1389" s="1029"/>
      <c r="I1389" s="1029"/>
      <c r="J1389" s="1029"/>
      <c r="K1389" s="1029"/>
      <c r="L1389" s="1029"/>
      <c r="M1389" s="938"/>
      <c r="N1389" s="1044" t="s">
        <v>2119</v>
      </c>
      <c r="O1389" s="1010" t="str">
        <f>'Part IX A-Scoring Criteria'!O71</f>
        <v>No</v>
      </c>
      <c r="P1389" s="1010"/>
      <c r="Q1389" s="938"/>
    </row>
    <row r="1390" spans="1:21">
      <c r="A1390" s="836" t="str">
        <f>IF(J1387="Earth Craft Communities", "X","")</f>
        <v/>
      </c>
      <c r="B1390" s="1058" t="s">
        <v>2123</v>
      </c>
      <c r="C1390" s="1018" t="s">
        <v>2814</v>
      </c>
    </row>
    <row r="1391" spans="1:21">
      <c r="B1391" s="1008"/>
      <c r="C1391" s="1583" t="s">
        <v>2816</v>
      </c>
      <c r="D1391" s="1583"/>
      <c r="E1391" s="1583"/>
      <c r="F1391" s="1583"/>
      <c r="G1391" s="1583"/>
      <c r="H1391" s="1583"/>
      <c r="I1391" s="1583"/>
      <c r="J1391" s="1583"/>
      <c r="K1391" s="1583"/>
      <c r="L1391" s="1583"/>
      <c r="M1391" s="946" t="str">
        <f>IF(AND($I$87="Stable Communities &lt; 10%",O1391=""), "X","")</f>
        <v/>
      </c>
      <c r="N1391" s="1008" t="s">
        <v>2817</v>
      </c>
      <c r="O1391" s="1010" t="str">
        <f>'Part IX A-Scoring Criteria'!O73</f>
        <v>No</v>
      </c>
      <c r="P1391" s="1010"/>
    </row>
    <row r="1392" spans="1:21">
      <c r="A1392" s="836" t="str">
        <f>IF(J1387="LEED-ND", "X","")</f>
        <v/>
      </c>
      <c r="B1392" s="1058" t="s">
        <v>2125</v>
      </c>
      <c r="C1392" s="1018" t="s">
        <v>2815</v>
      </c>
      <c r="M1392" s="947"/>
      <c r="O1392" s="998" t="s">
        <v>2682</v>
      </c>
      <c r="P1392" s="998" t="s">
        <v>2682</v>
      </c>
    </row>
    <row r="1393" spans="1:21">
      <c r="B1393" s="1008"/>
      <c r="C1393" s="1583" t="s">
        <v>2990</v>
      </c>
      <c r="D1393" s="1583"/>
      <c r="E1393" s="1583"/>
      <c r="F1393" s="1583"/>
      <c r="G1393" s="1583"/>
      <c r="H1393" s="1583"/>
      <c r="I1393" s="1583"/>
      <c r="J1393" s="1583"/>
      <c r="K1393" s="1583"/>
      <c r="L1393" s="1583"/>
      <c r="M1393" s="946" t="str">
        <f>IF(AND($I$87="Stable Communities &lt; 10%",O1393=""), "X","")</f>
        <v/>
      </c>
      <c r="N1393" s="1008" t="s">
        <v>2818</v>
      </c>
      <c r="O1393" s="1010" t="str">
        <f>'Part IX A-Scoring Criteria'!O75</f>
        <v>No</v>
      </c>
      <c r="P1393" s="1059"/>
    </row>
    <row r="1394" spans="1:21">
      <c r="B1394" s="1008"/>
      <c r="E1394" s="996"/>
      <c r="F1394" s="996"/>
      <c r="I1394" s="996"/>
      <c r="J1394" s="996"/>
      <c r="K1394" s="996"/>
      <c r="M1394" s="946"/>
      <c r="N1394" s="946"/>
      <c r="O1394" s="946"/>
      <c r="P1394" s="946"/>
    </row>
    <row r="1395" spans="1:21">
      <c r="A1395" s="997" t="s">
        <v>2122</v>
      </c>
      <c r="B1395" s="937" t="s">
        <v>329</v>
      </c>
      <c r="D1395" s="582"/>
      <c r="E1395" s="582"/>
      <c r="F1395" s="582"/>
      <c r="M1395" s="830">
        <v>2</v>
      </c>
      <c r="O1395" s="998" t="s">
        <v>2682</v>
      </c>
      <c r="P1395" s="998" t="s">
        <v>2682</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2123</v>
      </c>
      <c r="C1396" s="1001" t="s">
        <v>2994</v>
      </c>
      <c r="D1396" s="1043"/>
      <c r="E1396" s="1029"/>
      <c r="F1396" s="1029"/>
      <c r="G1396" s="1029"/>
      <c r="H1396" s="1029"/>
      <c r="I1396" s="1029"/>
      <c r="J1396" s="1029"/>
      <c r="K1396" s="1029"/>
      <c r="L1396" s="1029"/>
      <c r="M1396" s="938"/>
      <c r="N1396" s="1060" t="s">
        <v>2123</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2125</v>
      </c>
      <c r="C1397" s="1001" t="s">
        <v>2991</v>
      </c>
      <c r="D1397" s="1043"/>
      <c r="E1397" s="1029"/>
      <c r="F1397" s="1029"/>
      <c r="G1397" s="1029"/>
      <c r="H1397" s="1029"/>
      <c r="I1397" s="1029"/>
      <c r="J1397" s="1029"/>
      <c r="K1397" s="1029"/>
      <c r="L1397" s="1029"/>
      <c r="M1397" s="938"/>
      <c r="N1397" s="1060" t="s">
        <v>2125</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2708</v>
      </c>
      <c r="C1398" s="1001" t="s">
        <v>2992</v>
      </c>
      <c r="D1398" s="1043"/>
      <c r="E1398" s="1029"/>
      <c r="F1398" s="1029"/>
      <c r="G1398" s="1029"/>
      <c r="H1398" s="1029"/>
      <c r="I1398" s="1029"/>
      <c r="J1398" s="1029"/>
      <c r="K1398" s="1029"/>
      <c r="L1398" s="1029"/>
      <c r="M1398" s="938"/>
      <c r="N1398" s="1060" t="s">
        <v>2708</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1302</v>
      </c>
      <c r="C1399" s="1001" t="s">
        <v>2993</v>
      </c>
      <c r="D1399" s="1043"/>
      <c r="E1399" s="1029"/>
      <c r="F1399" s="1029"/>
      <c r="G1399" s="1029"/>
      <c r="H1399" s="1029"/>
      <c r="I1399" s="1029"/>
      <c r="J1399" s="1029"/>
      <c r="K1399" s="1029"/>
      <c r="L1399" s="1029"/>
      <c r="M1399" s="938"/>
      <c r="N1399" s="1060" t="s">
        <v>1302</v>
      </c>
      <c r="O1399" s="1010" t="str">
        <f>'Part IX A-Scoring Criteria'!O81</f>
        <v>Yes</v>
      </c>
      <c r="P1399" s="1010"/>
      <c r="Q1399" s="938"/>
    </row>
    <row r="1400" spans="1:21" ht="15">
      <c r="A1400" s="582"/>
      <c r="B1400" s="991" t="s">
        <v>270</v>
      </c>
      <c r="C1400" s="582"/>
      <c r="D1400" s="586"/>
      <c r="E1400" s="586"/>
      <c r="F1400" s="586"/>
      <c r="G1400" s="586"/>
      <c r="H1400" s="1055"/>
      <c r="I1400" s="1055"/>
      <c r="J1400" s="1055"/>
      <c r="K1400" s="583"/>
      <c r="L1400" s="1055"/>
      <c r="M1400" s="830"/>
      <c r="N1400" s="830"/>
      <c r="O1400" s="1025"/>
      <c r="P1400" s="938"/>
      <c r="Q1400" s="1055"/>
    </row>
    <row r="1401" spans="1:21" ht="15.75">
      <c r="A1401" s="1583" t="str">
        <f>'Part IX A-Scoring Criteria'!A83</f>
        <v>The Benoit Group, LLC is seeking certification for EarthCraft Multifamily and will meet the requirements for Building Sustainibility.  A draft scoring sheet for EarthCraft Multifamily and Edrick Harris's [VP of Development for The Benoit Group, LLC] participation in the required 2014 DCA Sustainible Building Course Certificate through Southface are located at Binder Tab 27 and Electronic Tab 27SustDevs.</v>
      </c>
      <c r="B1401" s="1583"/>
      <c r="C1401" s="1583"/>
      <c r="D1401" s="1583"/>
      <c r="E1401" s="1583"/>
      <c r="F1401" s="1583"/>
      <c r="G1401" s="1583"/>
      <c r="H1401" s="1583"/>
      <c r="I1401" s="1583"/>
      <c r="J1401" s="1583"/>
      <c r="K1401" s="1583"/>
      <c r="L1401" s="1583"/>
      <c r="M1401" s="1583"/>
      <c r="N1401" s="1583"/>
      <c r="O1401" s="1583"/>
      <c r="P1401" s="1583"/>
      <c r="Q1401" s="1030" t="s">
        <v>1333</v>
      </c>
    </row>
    <row r="1402" spans="1:21" ht="15">
      <c r="A1402" s="1029"/>
      <c r="B1402" s="991" t="s">
        <v>1997</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1333</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536</v>
      </c>
      <c r="B1405" s="1027" t="s">
        <v>3241</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464</v>
      </c>
      <c r="U1405" s="1025">
        <f>'Part IX A-Scoring Criteria'!O87</f>
        <v>0</v>
      </c>
    </row>
    <row r="1406" spans="1:21">
      <c r="A1406" s="997"/>
      <c r="B1406" s="937" t="s">
        <v>3249</v>
      </c>
      <c r="C1406" s="831"/>
      <c r="D1406" s="831"/>
      <c r="E1406" s="937" t="str">
        <f>'Part I-Project Information'!$H$85</f>
        <v>Flexible</v>
      </c>
      <c r="M1406" s="830"/>
      <c r="O1406" s="998" t="s">
        <v>2682</v>
      </c>
      <c r="P1406" s="998" t="s">
        <v>2682</v>
      </c>
    </row>
    <row r="1407" spans="1:21">
      <c r="A1407" s="836" t="str">
        <f>IF($I$87="Stable Communities &lt; 5%", "*","")</f>
        <v/>
      </c>
      <c r="B1407" s="1058" t="s">
        <v>2123</v>
      </c>
      <c r="C1407" s="565" t="s">
        <v>2909</v>
      </c>
      <c r="M1407" s="834"/>
      <c r="O1407" s="1010" t="str">
        <f>'Part IX A-Scoring Criteria'!O89</f>
        <v>No</v>
      </c>
      <c r="P1407" s="1010"/>
    </row>
    <row r="1408" spans="1:21">
      <c r="B1408" s="1058" t="s">
        <v>2125</v>
      </c>
      <c r="C1408" s="565" t="s">
        <v>3011</v>
      </c>
      <c r="D1408" s="1122">
        <f>'Part IX A-Scoring Criteria'!D90</f>
        <v>0</v>
      </c>
      <c r="E1408" s="565" t="s">
        <v>3012</v>
      </c>
      <c r="H1408" s="565" t="s">
        <v>2549</v>
      </c>
      <c r="K1408" s="583" t="s">
        <v>3010</v>
      </c>
      <c r="L1408" s="1123">
        <f>'Part IX A-Scoring Criteria'!L90</f>
        <v>0</v>
      </c>
      <c r="M1408" s="938"/>
      <c r="N1408" s="1011"/>
      <c r="O1408" s="836"/>
      <c r="P1408" s="836"/>
    </row>
    <row r="1409" spans="1:21">
      <c r="B1409" s="1058" t="s">
        <v>2708</v>
      </c>
      <c r="C1409" s="565" t="s">
        <v>2550</v>
      </c>
      <c r="H1409" s="565" t="s">
        <v>2551</v>
      </c>
      <c r="K1409" s="999" t="s">
        <v>2999</v>
      </c>
      <c r="L1409" s="565">
        <f>'Part IX A-Scoring Criteria'!L91</f>
        <v>0</v>
      </c>
      <c r="M1409" s="938"/>
      <c r="N1409" s="834"/>
      <c r="O1409" s="836"/>
      <c r="P1409" s="836"/>
    </row>
    <row r="1410" spans="1:21">
      <c r="B1410" s="1058" t="s">
        <v>1302</v>
      </c>
      <c r="C1410" s="565" t="s">
        <v>3399</v>
      </c>
      <c r="H1410" s="565"/>
      <c r="K1410" s="583" t="s">
        <v>3010</v>
      </c>
      <c r="L1410" s="1123">
        <f>'Part IX A-Scoring Criteria'!L92</f>
        <v>0</v>
      </c>
      <c r="M1410" s="938"/>
      <c r="N1410" s="834"/>
      <c r="O1410" s="836"/>
      <c r="P1410" s="836"/>
    </row>
    <row r="1411" spans="1:21" ht="15">
      <c r="A1411" s="582"/>
      <c r="B1411" s="991" t="s">
        <v>270</v>
      </c>
      <c r="C1411" s="582"/>
      <c r="D1411" s="586"/>
      <c r="E1411" s="586"/>
      <c r="F1411" s="586"/>
      <c r="G1411" s="586"/>
      <c r="H1411" s="583"/>
      <c r="I1411" s="583"/>
      <c r="J1411" s="583"/>
      <c r="K1411" s="583"/>
      <c r="L1411" s="1029"/>
      <c r="M1411" s="830"/>
      <c r="N1411" s="834"/>
      <c r="O1411" s="1025"/>
      <c r="P1411" s="836"/>
      <c r="Q1411" s="1029"/>
    </row>
    <row r="1412" spans="1:21" ht="15.75">
      <c r="A1412" s="1583" t="str">
        <f>'Part IX A-Scoring Criteria'!A94</f>
        <v>N/A</v>
      </c>
      <c r="B1412" s="1583"/>
      <c r="C1412" s="1583"/>
      <c r="D1412" s="1583"/>
      <c r="E1412" s="1583"/>
      <c r="F1412" s="1583"/>
      <c r="G1412" s="1583"/>
      <c r="H1412" s="1583"/>
      <c r="I1412" s="1583"/>
      <c r="J1412" s="1583"/>
      <c r="K1412" s="1583"/>
      <c r="L1412" s="1583"/>
      <c r="M1412" s="1583"/>
      <c r="N1412" s="1583"/>
      <c r="O1412" s="1583"/>
      <c r="P1412" s="1583"/>
      <c r="Q1412" s="1030" t="s">
        <v>1333</v>
      </c>
    </row>
    <row r="1413" spans="1:21" ht="15">
      <c r="A1413" s="582"/>
      <c r="B1413" s="992" t="s">
        <v>1997</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1333</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537</v>
      </c>
      <c r="B1416" s="1027" t="s">
        <v>3250</v>
      </c>
      <c r="C1416" s="1055"/>
      <c r="D1416" s="1047"/>
      <c r="E1416" s="1047"/>
      <c r="F1416" s="1055"/>
      <c r="G1416" s="1055"/>
      <c r="H1416" s="956"/>
      <c r="I1416" s="1055"/>
      <c r="J1416" s="1608" t="str">
        <f>'Part IX A-Scoring Criteria'!J98</f>
        <v>None</v>
      </c>
      <c r="K1416" s="1608"/>
      <c r="L1416" s="1608"/>
      <c r="M1416" s="938">
        <v>3</v>
      </c>
      <c r="N1416" s="830"/>
      <c r="O1416" s="938">
        <f>IF(J1416="Adopted Revitalization Plan",2,IF(J1416="Designated Military Zone",1,IF(J1416="Adptd Revital Plan &amp; Desig MZ",3,IF(J1416="HUD Choice Neighborhood",2,0))))</f>
        <v>0</v>
      </c>
      <c r="P1416" s="938"/>
      <c r="Q1416" s="938" t="s">
        <v>464</v>
      </c>
      <c r="U1416" s="1025">
        <f>'Part IX A-Scoring Criteria'!O98</f>
        <v>0</v>
      </c>
    </row>
    <row r="1417" spans="1:21">
      <c r="A1417" s="997" t="s">
        <v>2119</v>
      </c>
      <c r="B1417" s="937" t="s">
        <v>3255</v>
      </c>
      <c r="E1417" s="582"/>
      <c r="F1417" s="984" t="s">
        <v>3256</v>
      </c>
      <c r="I1417" s="1609">
        <f>'Part IX A-Scoring Criteria'!I99</f>
        <v>0</v>
      </c>
      <c r="J1417" s="1609"/>
      <c r="K1417" s="1609"/>
      <c r="L1417" s="1609"/>
      <c r="M1417" s="1609"/>
      <c r="N1417" s="1609"/>
      <c r="O1417" s="1609"/>
      <c r="P1417" s="1609"/>
    </row>
    <row r="1418" spans="1:21" ht="15">
      <c r="A1418" s="997"/>
      <c r="B1418" s="565" t="s">
        <v>3594</v>
      </c>
      <c r="C1418" s="1029"/>
      <c r="D1418" s="582"/>
      <c r="E1418" s="1029"/>
      <c r="F1418" s="1029"/>
      <c r="G1418" s="1029"/>
      <c r="H1418" s="1029"/>
      <c r="I1418" s="1029"/>
      <c r="J1418" s="1029"/>
      <c r="K1418" s="1029"/>
      <c r="L1418" s="1029"/>
      <c r="M1418" s="1029"/>
      <c r="N1418" s="989"/>
      <c r="O1418" s="1010" t="str">
        <f>'Part IX A-Scoring Criteria'!O100</f>
        <v>No</v>
      </c>
      <c r="P1418" s="1010"/>
      <c r="Q1418" s="1029"/>
    </row>
    <row r="1419" spans="1:21" ht="15">
      <c r="A1419" s="938"/>
      <c r="B1419" s="1004" t="s">
        <v>3697</v>
      </c>
      <c r="C1419" s="1029"/>
      <c r="D1419" s="1029"/>
      <c r="E1419" s="988"/>
      <c r="F1419" s="1029"/>
      <c r="G1419" s="999" t="s">
        <v>3321</v>
      </c>
      <c r="H1419" s="1610">
        <f>'Part I-Project Information'!O1345</f>
        <v>0</v>
      </c>
      <c r="I1419" s="1584"/>
      <c r="J1419" s="1029"/>
      <c r="K1419" s="1029"/>
      <c r="L1419" s="1029"/>
      <c r="M1419" s="830">
        <v>2</v>
      </c>
      <c r="N1419" s="1029"/>
      <c r="O1419" s="998" t="s">
        <v>2682</v>
      </c>
      <c r="P1419" s="998" t="s">
        <v>2682</v>
      </c>
      <c r="Q1419" s="1029"/>
    </row>
    <row r="1420" spans="1:21" ht="15">
      <c r="A1420" s="836"/>
      <c r="B1420" s="989" t="s">
        <v>2600</v>
      </c>
      <c r="C1420" s="565" t="s">
        <v>3311</v>
      </c>
      <c r="D1420" s="1055"/>
      <c r="E1420" s="988"/>
      <c r="F1420" s="1029"/>
      <c r="G1420" s="1045" t="s">
        <v>3597</v>
      </c>
      <c r="H1420" s="1029"/>
      <c r="I1420" s="1124">
        <f>'Part IX A-Scoring Criteria'!I102</f>
        <v>0</v>
      </c>
      <c r="J1420" s="1029"/>
      <c r="K1420" s="1029"/>
      <c r="L1420" s="1029"/>
      <c r="M1420" s="836"/>
      <c r="N1420" s="989" t="s">
        <v>2600</v>
      </c>
      <c r="O1420" s="1010" t="str">
        <f>'Part IX A-Scoring Criteria'!O102</f>
        <v>Yes</v>
      </c>
      <c r="P1420" s="1010"/>
      <c r="Q1420" s="1029"/>
    </row>
    <row r="1421" spans="1:21" ht="15">
      <c r="A1421" s="836"/>
      <c r="B1421" s="989" t="s">
        <v>2601</v>
      </c>
      <c r="C1421" s="999" t="s">
        <v>3312</v>
      </c>
      <c r="D1421" s="1055"/>
      <c r="E1421" s="988"/>
      <c r="F1421" s="1029"/>
      <c r="G1421" s="1045" t="s">
        <v>3583</v>
      </c>
      <c r="H1421" s="1611">
        <f>'Part IX A-Scoring Criteria'!H103</f>
        <v>0</v>
      </c>
      <c r="I1421" s="1611"/>
      <c r="J1421" s="1029"/>
      <c r="K1421" s="1045" t="s">
        <v>3592</v>
      </c>
      <c r="L1421" s="1612">
        <f>'Part IX A-Scoring Criteria'!L103</f>
        <v>0</v>
      </c>
      <c r="M1421" s="1612"/>
      <c r="N1421" s="989" t="s">
        <v>2601</v>
      </c>
      <c r="O1421" s="1010" t="str">
        <f>'Part IX A-Scoring Criteria'!O103</f>
        <v>Yes</v>
      </c>
      <c r="P1421" s="1010"/>
      <c r="Q1421" s="1029"/>
    </row>
    <row r="1422" spans="1:21" ht="15">
      <c r="A1422" s="836"/>
      <c r="B1422" s="989"/>
      <c r="C1422" s="999"/>
      <c r="D1422" s="1055"/>
      <c r="E1422" s="988"/>
      <c r="F1422" s="1029"/>
      <c r="G1422" s="1045" t="s">
        <v>3308</v>
      </c>
      <c r="H1422" s="1611">
        <f>'Part IX A-Scoring Criteria'!H104</f>
        <v>0</v>
      </c>
      <c r="I1422" s="1611"/>
      <c r="J1422" s="1029"/>
      <c r="K1422" s="1045" t="s">
        <v>3307</v>
      </c>
      <c r="L1422" s="1612" t="str">
        <f>'Part IX A-Scoring Criteria'!L104</f>
        <v>&lt;&lt;Select event type&gt;&gt;</v>
      </c>
      <c r="M1422" s="1612"/>
      <c r="N1422" s="1029"/>
      <c r="O1422" s="1029"/>
      <c r="P1422" s="1029"/>
      <c r="Q1422" s="1029"/>
    </row>
    <row r="1423" spans="1:21" ht="13.5">
      <c r="B1423" s="989" t="s">
        <v>2602</v>
      </c>
      <c r="C1423" s="999" t="s">
        <v>3313</v>
      </c>
      <c r="D1423" s="565"/>
      <c r="G1423" s="1045" t="s">
        <v>3593</v>
      </c>
      <c r="L1423" s="1124">
        <f>'Part IX A-Scoring Criteria'!L105</f>
        <v>0</v>
      </c>
      <c r="M1423" s="836"/>
      <c r="N1423" s="989" t="s">
        <v>2602</v>
      </c>
      <c r="O1423" s="1010" t="str">
        <f>'Part IX A-Scoring Criteria'!O105</f>
        <v>Yes</v>
      </c>
      <c r="P1423" s="1010"/>
    </row>
    <row r="1424" spans="1:21" ht="13.5">
      <c r="B1424" s="989"/>
      <c r="C1424" s="999"/>
      <c r="D1424" s="565"/>
      <c r="G1424" s="1045" t="s">
        <v>3698</v>
      </c>
      <c r="L1424" s="1611">
        <f>'Part IX A-Scoring Criteria'!L106</f>
        <v>0</v>
      </c>
      <c r="M1424" s="1611"/>
    </row>
    <row r="1425" spans="1:17" ht="13.5">
      <c r="B1425" s="989"/>
      <c r="C1425" s="999" t="s">
        <v>3310</v>
      </c>
      <c r="D1425" s="565"/>
      <c r="G1425" s="1045"/>
      <c r="K1425" s="874" t="s">
        <v>2947</v>
      </c>
      <c r="L1425" s="874">
        <f>'Part IX A-Scoring Criteria'!L107</f>
        <v>0</v>
      </c>
      <c r="M1425" s="836"/>
      <c r="N1425" s="989"/>
      <c r="O1425" s="1010" t="str">
        <f>'Part IX A-Scoring Criteria'!O107</f>
        <v>Yes</v>
      </c>
      <c r="P1425" s="1010"/>
    </row>
    <row r="1426" spans="1:17">
      <c r="B1426" s="989" t="s">
        <v>2603</v>
      </c>
      <c r="C1426" s="583" t="s">
        <v>3314</v>
      </c>
      <c r="K1426" s="874" t="s">
        <v>2947</v>
      </c>
      <c r="L1426" s="874">
        <f>'Part IX A-Scoring Criteria'!L108</f>
        <v>0</v>
      </c>
      <c r="M1426" s="836"/>
      <c r="N1426" s="989" t="s">
        <v>2603</v>
      </c>
      <c r="O1426" s="1010" t="str">
        <f>'Part IX A-Scoring Criteria'!O108</f>
        <v>Yes</v>
      </c>
      <c r="P1426" s="1010"/>
    </row>
    <row r="1427" spans="1:17">
      <c r="B1427" s="989" t="s">
        <v>2604</v>
      </c>
      <c r="C1427" s="583" t="s">
        <v>3315</v>
      </c>
      <c r="K1427" s="874" t="s">
        <v>2947</v>
      </c>
      <c r="L1427" s="874">
        <f>'Part IX A-Scoring Criteria'!L109</f>
        <v>0</v>
      </c>
      <c r="M1427" s="836"/>
      <c r="N1427" s="989" t="s">
        <v>2604</v>
      </c>
      <c r="O1427" s="1010" t="str">
        <f>'Part IX A-Scoring Criteria'!O109</f>
        <v>Yes</v>
      </c>
      <c r="P1427" s="1010"/>
    </row>
    <row r="1428" spans="1:17">
      <c r="B1428" s="989" t="s">
        <v>2620</v>
      </c>
      <c r="C1428" s="583" t="s">
        <v>3318</v>
      </c>
      <c r="K1428" s="874" t="s">
        <v>2947</v>
      </c>
      <c r="L1428" s="874">
        <f>'Part IX A-Scoring Criteria'!L110</f>
        <v>0</v>
      </c>
      <c r="M1428" s="836"/>
      <c r="N1428" s="989" t="s">
        <v>2620</v>
      </c>
      <c r="O1428" s="1010" t="str">
        <f>'Part IX A-Scoring Criteria'!O110</f>
        <v>Yes</v>
      </c>
      <c r="P1428" s="1010"/>
    </row>
    <row r="1429" spans="1:17">
      <c r="B1429" s="989"/>
      <c r="C1429" s="583" t="s">
        <v>3316</v>
      </c>
      <c r="K1429" s="867"/>
      <c r="M1429" s="836"/>
      <c r="N1429" s="989"/>
      <c r="O1429" s="1010" t="str">
        <f>'Part IX A-Scoring Criteria'!O111</f>
        <v>Yes</v>
      </c>
      <c r="P1429" s="1010"/>
    </row>
    <row r="1430" spans="1:17">
      <c r="B1430" s="989" t="s">
        <v>2621</v>
      </c>
      <c r="C1430" s="583" t="s">
        <v>3317</v>
      </c>
      <c r="D1430" s="565"/>
      <c r="K1430" s="874" t="s">
        <v>2947</v>
      </c>
      <c r="L1430" s="874">
        <f>'Part IX A-Scoring Criteria'!L112</f>
        <v>0</v>
      </c>
      <c r="M1430" s="836"/>
      <c r="N1430" s="989" t="s">
        <v>2621</v>
      </c>
      <c r="O1430" s="1010" t="str">
        <f>'Part IX A-Scoring Criteria'!O112</f>
        <v>Yes</v>
      </c>
      <c r="P1430" s="1010"/>
    </row>
    <row r="1431" spans="1:17">
      <c r="B1431" s="989" t="s">
        <v>2622</v>
      </c>
      <c r="C1431" s="583" t="s">
        <v>3319</v>
      </c>
      <c r="K1431" s="874" t="s">
        <v>2947</v>
      </c>
      <c r="L1431" s="874">
        <f>'Part IX A-Scoring Criteria'!L113</f>
        <v>0</v>
      </c>
      <c r="M1431" s="836"/>
      <c r="N1431" s="989" t="s">
        <v>2622</v>
      </c>
      <c r="O1431" s="1010" t="str">
        <f>'Part IX A-Scoring Criteria'!O113</f>
        <v>Yes</v>
      </c>
      <c r="P1431" s="1010"/>
    </row>
    <row r="1432" spans="1:17">
      <c r="B1432" s="989" t="s">
        <v>2623</v>
      </c>
      <c r="C1432" s="583" t="s">
        <v>3320</v>
      </c>
      <c r="K1432" s="874" t="s">
        <v>2947</v>
      </c>
      <c r="L1432" s="874">
        <f>'Part IX A-Scoring Criteria'!L114</f>
        <v>0</v>
      </c>
      <c r="M1432" s="836"/>
      <c r="N1432" s="989" t="s">
        <v>2623</v>
      </c>
      <c r="O1432" s="1010" t="str">
        <f>'Part IX A-Scoring Criteria'!O114</f>
        <v>Yes</v>
      </c>
      <c r="P1432" s="1010"/>
    </row>
    <row r="1433" spans="1:17">
      <c r="B1433" s="989" t="s">
        <v>2624</v>
      </c>
      <c r="C1433" s="583" t="s">
        <v>3322</v>
      </c>
      <c r="K1433" s="874" t="s">
        <v>2947</v>
      </c>
      <c r="L1433" s="874">
        <f>'Part IX A-Scoring Criteria'!L115</f>
        <v>0</v>
      </c>
      <c r="M1433" s="836"/>
      <c r="N1433" s="989" t="s">
        <v>2624</v>
      </c>
      <c r="O1433" s="1010" t="str">
        <f>'Part IX A-Scoring Criteria'!O115</f>
        <v>Yes</v>
      </c>
      <c r="P1433" s="1010"/>
    </row>
    <row r="1434" spans="1:17">
      <c r="A1434" s="997" t="s">
        <v>2122</v>
      </c>
      <c r="B1434" s="937" t="s">
        <v>3252</v>
      </c>
      <c r="D1434" s="582"/>
      <c r="M1434" s="834">
        <v>1</v>
      </c>
      <c r="O1434" s="998" t="s">
        <v>2682</v>
      </c>
      <c r="P1434" s="998" t="s">
        <v>2682</v>
      </c>
    </row>
    <row r="1435" spans="1:17" ht="13.5">
      <c r="A1435" s="990" t="s">
        <v>1441</v>
      </c>
      <c r="B1435" s="565" t="s">
        <v>3254</v>
      </c>
      <c r="O1435" s="1010" t="str">
        <f>'Part IX A-Scoring Criteria'!O117</f>
        <v>No</v>
      </c>
      <c r="P1435" s="1010"/>
      <c r="Q1435" s="1045"/>
    </row>
    <row r="1436" spans="1:17">
      <c r="A1436" s="997" t="s">
        <v>800</v>
      </c>
      <c r="B1436" s="937" t="s">
        <v>3253</v>
      </c>
      <c r="C1436" s="937"/>
      <c r="D1436" s="582"/>
      <c r="M1436" s="830">
        <v>2</v>
      </c>
      <c r="O1436" s="985" t="s">
        <v>2682</v>
      </c>
      <c r="P1436" s="985" t="s">
        <v>2682</v>
      </c>
    </row>
    <row r="1437" spans="1:17">
      <c r="B1437" s="1583" t="s">
        <v>3529</v>
      </c>
      <c r="C1437" s="1583"/>
      <c r="D1437" s="1583"/>
      <c r="E1437" s="1583"/>
      <c r="F1437" s="1583"/>
      <c r="G1437" s="1583"/>
      <c r="H1437" s="1583"/>
      <c r="I1437" s="1583"/>
      <c r="J1437" s="1583"/>
      <c r="K1437" s="1583"/>
      <c r="L1437" s="1583"/>
      <c r="O1437" s="1010" t="str">
        <f>'Part IX A-Scoring Criteria'!O119</f>
        <v>No</v>
      </c>
      <c r="P1437" s="1010"/>
    </row>
    <row r="1438" spans="1:17" ht="15">
      <c r="A1438" s="582"/>
      <c r="B1438" s="991" t="s">
        <v>270</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N/A - Not in a QCT.</v>
      </c>
      <c r="B1439" s="1583"/>
      <c r="C1439" s="1583"/>
      <c r="D1439" s="1583"/>
      <c r="E1439" s="1583"/>
      <c r="F1439" s="1583"/>
      <c r="G1439" s="1583"/>
      <c r="H1439" s="1583"/>
      <c r="I1439" s="1583"/>
      <c r="J1439" s="1583"/>
      <c r="K1439" s="1583"/>
      <c r="L1439" s="1583"/>
      <c r="M1439" s="1583"/>
      <c r="N1439" s="1583"/>
      <c r="O1439" s="1583"/>
      <c r="P1439" s="1583"/>
      <c r="Q1439" s="1030" t="s">
        <v>1333</v>
      </c>
    </row>
    <row r="1440" spans="1:17" ht="15">
      <c r="A1440" s="582"/>
      <c r="B1440" s="992" t="s">
        <v>1997</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1333</v>
      </c>
    </row>
    <row r="1442" spans="1:21">
      <c r="N1442" s="834"/>
      <c r="O1442" s="836"/>
      <c r="P1442" s="836"/>
    </row>
    <row r="1443" spans="1:21" ht="15">
      <c r="A1443" s="1026" t="s">
        <v>228</v>
      </c>
      <c r="B1443" s="1027" t="s">
        <v>2625</v>
      </c>
      <c r="C1443" s="1029"/>
      <c r="D1443" s="1043"/>
      <c r="E1443" s="1043"/>
      <c r="F1443" s="1043"/>
      <c r="G1443" s="1029"/>
      <c r="H1443" s="1061"/>
      <c r="I1443" s="1029"/>
      <c r="J1443" s="1061" t="s">
        <v>420</v>
      </c>
      <c r="K1443" s="586"/>
      <c r="L1443" s="1029"/>
      <c r="M1443" s="938">
        <v>3</v>
      </c>
      <c r="N1443" s="830"/>
      <c r="O1443" s="938">
        <f>IF(AND(J1444="Flexible",O1444=$M1444),$M1444,IF(O1450&gt;0,O1450,0))</f>
        <v>2</v>
      </c>
      <c r="P1443" s="938">
        <f>MIN($M1443,(P1444+P1450))</f>
        <v>0</v>
      </c>
      <c r="Q1443" s="938" t="s">
        <v>464</v>
      </c>
      <c r="U1443" s="1025">
        <f>'Part IX A-Scoring Criteria'!O125</f>
        <v>2</v>
      </c>
    </row>
    <row r="1444" spans="1:21" ht="13.5">
      <c r="A1444" s="940" t="s">
        <v>2119</v>
      </c>
      <c r="B1444" s="937" t="s">
        <v>2380</v>
      </c>
      <c r="D1444" s="582"/>
      <c r="E1444" s="582"/>
      <c r="F1444" s="582"/>
      <c r="G1444" s="579" t="str">
        <f>IF(AND(O1444&lt;0,L1451&lt;0),"Select either A or B but not both!&gt;","")</f>
        <v/>
      </c>
      <c r="H1444" s="937" t="s">
        <v>3249</v>
      </c>
      <c r="I1444" s="831"/>
      <c r="J1444" s="937" t="str">
        <f>'Part I-Project Information'!$H$85</f>
        <v>Flexible</v>
      </c>
      <c r="M1444" s="830">
        <v>3</v>
      </c>
      <c r="N1444" s="989" t="s">
        <v>2119</v>
      </c>
      <c r="O1444" s="938">
        <f>'Part IX A-Scoring Criteria'!O126</f>
        <v>0</v>
      </c>
      <c r="P1444" s="938"/>
      <c r="Q1444" s="1045" t="s">
        <v>2948</v>
      </c>
    </row>
    <row r="1445" spans="1:21">
      <c r="A1445" s="565"/>
      <c r="B1445" s="1051" t="s">
        <v>2123</v>
      </c>
      <c r="C1445" s="1583" t="s">
        <v>3530</v>
      </c>
      <c r="D1445" s="1605"/>
      <c r="E1445" s="1605"/>
      <c r="F1445" s="1605"/>
      <c r="G1445" s="1605"/>
      <c r="H1445" s="1605"/>
      <c r="I1445" s="1605"/>
      <c r="J1445" s="1605"/>
      <c r="K1445" s="1605"/>
      <c r="L1445" s="1605"/>
      <c r="M1445" s="1050"/>
      <c r="N1445" s="1051" t="s">
        <v>2123</v>
      </c>
      <c r="O1445" s="1010" t="str">
        <f>'Part IX A-Scoring Criteria'!O127</f>
        <v>No</v>
      </c>
      <c r="P1445" s="1010"/>
      <c r="Q1445" s="565"/>
    </row>
    <row r="1446" spans="1:21">
      <c r="A1446" s="565"/>
      <c r="B1446" s="1044"/>
      <c r="C1446" s="583" t="s">
        <v>1021</v>
      </c>
      <c r="D1446" s="565"/>
      <c r="E1446" s="565"/>
      <c r="F1446" s="565"/>
      <c r="G1446" s="565"/>
      <c r="H1446" s="998" t="s">
        <v>2766</v>
      </c>
      <c r="I1446" s="832">
        <f>'Part IX A-Scoring Criteria'!I128</f>
        <v>0</v>
      </c>
      <c r="J1446" s="998" t="s">
        <v>2451</v>
      </c>
      <c r="K1446" s="1578">
        <f>'Part IX A-Scoring Criteria'!K128</f>
        <v>0</v>
      </c>
      <c r="L1446" s="1578"/>
      <c r="M1446" s="1578"/>
      <c r="N1446" s="565"/>
      <c r="O1446" s="565"/>
      <c r="P1446" s="565"/>
      <c r="Q1446" s="565"/>
    </row>
    <row r="1447" spans="1:21">
      <c r="A1447" s="565"/>
      <c r="B1447" s="1044" t="s">
        <v>2125</v>
      </c>
      <c r="C1447" s="583" t="s">
        <v>1022</v>
      </c>
      <c r="D1447" s="565"/>
      <c r="E1447" s="565"/>
      <c r="F1447" s="565"/>
      <c r="G1447" s="565"/>
      <c r="H1447" s="565"/>
      <c r="I1447" s="565"/>
      <c r="J1447" s="565"/>
      <c r="K1447" s="565"/>
      <c r="L1447" s="565"/>
      <c r="M1447" s="830"/>
      <c r="N1447" s="1044" t="s">
        <v>2125</v>
      </c>
      <c r="O1447" s="1010" t="str">
        <f>'Part IX A-Scoring Criteria'!O129</f>
        <v>No</v>
      </c>
      <c r="P1447" s="1010"/>
      <c r="Q1447" s="565"/>
    </row>
    <row r="1448" spans="1:21">
      <c r="A1448" s="565"/>
      <c r="B1448" s="1044" t="s">
        <v>2708</v>
      </c>
      <c r="C1448" s="583" t="s">
        <v>1023</v>
      </c>
      <c r="D1448" s="565"/>
      <c r="E1448" s="565"/>
      <c r="F1448" s="565"/>
      <c r="G1448" s="565"/>
      <c r="H1448" s="565"/>
      <c r="I1448" s="565"/>
      <c r="J1448" s="565"/>
      <c r="K1448" s="565"/>
      <c r="L1448" s="565"/>
      <c r="M1448" s="830"/>
      <c r="N1448" s="1044" t="s">
        <v>2708</v>
      </c>
      <c r="O1448" s="1010" t="str">
        <f>'Part IX A-Scoring Criteria'!O130</f>
        <v>No</v>
      </c>
      <c r="P1448" s="1010"/>
      <c r="Q1448" s="565"/>
    </row>
    <row r="1449" spans="1:21">
      <c r="A1449" s="990" t="s">
        <v>1441</v>
      </c>
      <c r="B1449" s="1044" t="s">
        <v>1302</v>
      </c>
      <c r="C1449" s="583" t="s">
        <v>1024</v>
      </c>
      <c r="D1449" s="565"/>
      <c r="E1449" s="565"/>
      <c r="F1449" s="565"/>
      <c r="G1449" s="565"/>
      <c r="H1449" s="565"/>
      <c r="I1449" s="565"/>
      <c r="J1449" s="565"/>
      <c r="K1449" s="565"/>
      <c r="L1449" s="565"/>
      <c r="M1449" s="830"/>
      <c r="N1449" s="1044" t="s">
        <v>1302</v>
      </c>
      <c r="O1449" s="1010" t="str">
        <f>'Part IX A-Scoring Criteria'!O131</f>
        <v>No</v>
      </c>
      <c r="P1449" s="1010"/>
      <c r="Q1449" s="565"/>
    </row>
    <row r="1450" spans="1:21" ht="13.5">
      <c r="A1450" s="940" t="s">
        <v>2122</v>
      </c>
      <c r="B1450" s="937" t="s">
        <v>2381</v>
      </c>
      <c r="E1450" s="1045" t="s">
        <v>3156</v>
      </c>
      <c r="M1450" s="830">
        <v>3</v>
      </c>
      <c r="N1450" s="989" t="s">
        <v>2122</v>
      </c>
      <c r="O1450" s="830">
        <f>IF($L1451=5,3,IF($L1451=4,2,0))</f>
        <v>2</v>
      </c>
      <c r="P1450" s="938"/>
    </row>
    <row r="1451" spans="1:21" ht="15">
      <c r="B1451" s="988" t="s">
        <v>3323</v>
      </c>
      <c r="D1451" s="582"/>
      <c r="E1451" s="582"/>
      <c r="F1451" s="582"/>
      <c r="G1451" s="988"/>
      <c r="H1451" s="988"/>
      <c r="I1451" s="988"/>
      <c r="J1451" s="988"/>
      <c r="L1451" s="985">
        <f>'Part IX A-Scoring Criteria'!L133</f>
        <v>4</v>
      </c>
      <c r="M1451" s="583" t="s">
        <v>3324</v>
      </c>
      <c r="N1451" s="834"/>
      <c r="O1451" s="1055"/>
      <c r="P1451" s="1055"/>
    </row>
    <row r="1452" spans="1:21" ht="15">
      <c r="B1452" s="988" t="s">
        <v>3325</v>
      </c>
      <c r="D1452" s="582"/>
      <c r="E1452" s="582"/>
      <c r="F1452" s="582"/>
      <c r="G1452" s="988"/>
      <c r="H1452" s="988"/>
      <c r="I1452" s="988"/>
      <c r="J1452" s="988"/>
      <c r="N1452" s="583"/>
      <c r="O1452" s="1055"/>
      <c r="P1452" s="1055"/>
    </row>
    <row r="1453" spans="1:21" ht="15">
      <c r="A1453" s="582"/>
      <c r="B1453" s="991" t="s">
        <v>270</v>
      </c>
      <c r="C1453" s="582"/>
      <c r="D1453" s="586"/>
      <c r="E1453" s="586"/>
      <c r="F1453" s="586"/>
      <c r="G1453" s="586"/>
      <c r="H1453" s="583"/>
      <c r="I1453" s="583"/>
      <c r="J1453" s="583"/>
      <c r="K1453" s="583"/>
      <c r="L1453" s="1029"/>
      <c r="M1453" s="830"/>
      <c r="N1453" s="834"/>
      <c r="O1453" s="1025"/>
      <c r="P1453" s="836"/>
      <c r="Q1453" s="1029"/>
    </row>
    <row r="1454" spans="1:21" ht="15.75">
      <c r="A1454" s="1583" t="str">
        <f>'Part IX A-Scoring Criteria'!A136</f>
        <v>Previous project is 2 miles away.</v>
      </c>
      <c r="B1454" s="1583"/>
      <c r="C1454" s="1583"/>
      <c r="D1454" s="1583"/>
      <c r="E1454" s="1583"/>
      <c r="F1454" s="1583"/>
      <c r="G1454" s="1583"/>
      <c r="H1454" s="1583"/>
      <c r="I1454" s="1583"/>
      <c r="J1454" s="1583"/>
      <c r="K1454" s="1583"/>
      <c r="L1454" s="1583"/>
      <c r="M1454" s="1583"/>
      <c r="N1454" s="1583"/>
      <c r="O1454" s="1583"/>
      <c r="P1454" s="1583"/>
      <c r="Q1454" s="1030" t="s">
        <v>1333</v>
      </c>
    </row>
    <row r="1455" spans="1:21" ht="15">
      <c r="A1455" s="1029"/>
      <c r="B1455" s="992" t="s">
        <v>1997</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1333</v>
      </c>
    </row>
    <row r="1457" spans="1:21">
      <c r="N1457" s="834"/>
      <c r="O1457" s="836"/>
      <c r="P1457" s="836"/>
    </row>
    <row r="1458" spans="1:21" ht="15">
      <c r="A1458" s="1026" t="s">
        <v>229</v>
      </c>
      <c r="B1458" s="1027" t="s">
        <v>2626</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464</v>
      </c>
      <c r="U1458" s="1025">
        <f>'Part IX A-Scoring Criteria'!O140</f>
        <v>2</v>
      </c>
    </row>
    <row r="1459" spans="1:21">
      <c r="B1459" s="565" t="s">
        <v>1784</v>
      </c>
      <c r="M1459" s="947"/>
      <c r="P1459" s="998" t="s">
        <v>2682</v>
      </c>
    </row>
    <row r="1460" spans="1:21">
      <c r="A1460" s="1006" t="s">
        <v>2119</v>
      </c>
      <c r="B1460" s="1587" t="s">
        <v>2826</v>
      </c>
      <c r="C1460" s="1606"/>
      <c r="D1460" s="1606"/>
      <c r="E1460" s="1606"/>
      <c r="F1460" s="1606"/>
      <c r="G1460" s="1606"/>
      <c r="H1460" s="1606"/>
      <c r="I1460" s="1606"/>
      <c r="J1460" s="1606"/>
      <c r="K1460" s="1606"/>
      <c r="L1460" s="1606"/>
      <c r="M1460" s="1606"/>
      <c r="N1460" s="1606"/>
      <c r="O1460" s="1008" t="s">
        <v>2600</v>
      </c>
      <c r="P1460" s="1059"/>
      <c r="Q1460" s="1007"/>
    </row>
    <row r="1461" spans="1:21">
      <c r="A1461" s="1006" t="s">
        <v>2122</v>
      </c>
      <c r="B1461" s="1587" t="s">
        <v>2995</v>
      </c>
      <c r="C1461" s="1606"/>
      <c r="D1461" s="1606"/>
      <c r="E1461" s="1606"/>
      <c r="F1461" s="1606"/>
      <c r="G1461" s="1606"/>
      <c r="H1461" s="1606"/>
      <c r="I1461" s="1606"/>
      <c r="J1461" s="1606"/>
      <c r="K1461" s="1606"/>
      <c r="L1461" s="1606"/>
      <c r="M1461" s="1606"/>
      <c r="N1461" s="1606"/>
      <c r="O1461" s="1008" t="s">
        <v>2601</v>
      </c>
      <c r="P1461" s="1059"/>
      <c r="Q1461" s="1007"/>
    </row>
    <row r="1462" spans="1:21">
      <c r="A1462" s="1006" t="s">
        <v>800</v>
      </c>
      <c r="B1462" s="996" t="s">
        <v>1785</v>
      </c>
      <c r="C1462" s="1007"/>
      <c r="D1462" s="1007"/>
      <c r="E1462" s="1007"/>
      <c r="F1462" s="1007"/>
      <c r="G1462" s="1007"/>
      <c r="H1462" s="1007"/>
      <c r="I1462" s="1007"/>
      <c r="J1462" s="1007"/>
      <c r="K1462" s="1007"/>
      <c r="L1462" s="1007"/>
      <c r="M1462" s="1062"/>
      <c r="N1462" s="1008"/>
      <c r="O1462" s="1008" t="s">
        <v>2602</v>
      </c>
      <c r="P1462" s="1059"/>
      <c r="Q1462" s="1007"/>
    </row>
    <row r="1463" spans="1:21" ht="15">
      <c r="A1463" s="1008"/>
      <c r="B1463" s="991" t="s">
        <v>270</v>
      </c>
      <c r="C1463" s="582"/>
      <c r="D1463" s="586"/>
      <c r="E1463" s="586"/>
      <c r="F1463" s="586"/>
      <c r="G1463" s="586"/>
      <c r="H1463" s="583"/>
      <c r="I1463" s="583"/>
      <c r="J1463" s="583"/>
      <c r="K1463" s="583"/>
      <c r="L1463" s="1029"/>
      <c r="M1463" s="830"/>
      <c r="N1463" s="834"/>
      <c r="O1463" s="1025"/>
      <c r="P1463" s="836"/>
      <c r="Q1463" s="1029"/>
    </row>
    <row r="1464" spans="1:21" ht="15.75">
      <c r="A1464" s="1583" t="str">
        <f>'Part IX A-Scoring Criteria'!A146</f>
        <v>As per the Market Feasibility Ananlysis performed by Real Property Research Group, based on household growth, low affordability and demand capture rates, and stable rental market conditions, sufficient demand exists to support the proposed renovation of teh units at Macon Gardens.  The Market Study can be found at Tab 05 under Market Study and Electronic Tab.</v>
      </c>
      <c r="B1464" s="1583"/>
      <c r="C1464" s="1583"/>
      <c r="D1464" s="1583"/>
      <c r="E1464" s="1583"/>
      <c r="F1464" s="1583"/>
      <c r="G1464" s="1583"/>
      <c r="H1464" s="1583"/>
      <c r="I1464" s="1583"/>
      <c r="J1464" s="1583"/>
      <c r="K1464" s="1583"/>
      <c r="L1464" s="1583"/>
      <c r="M1464" s="1583"/>
      <c r="N1464" s="1583"/>
      <c r="O1464" s="1583"/>
      <c r="P1464" s="1583"/>
      <c r="Q1464" s="1030" t="s">
        <v>1333</v>
      </c>
    </row>
    <row r="1465" spans="1:21" ht="15">
      <c r="A1465" s="582"/>
      <c r="B1465" s="992" t="s">
        <v>1997</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1333</v>
      </c>
    </row>
    <row r="1467" spans="1:21">
      <c r="N1467" s="834"/>
      <c r="O1467" s="836"/>
      <c r="P1467" s="836"/>
    </row>
    <row r="1468" spans="1:21" ht="15">
      <c r="A1468" s="1063" t="s">
        <v>230</v>
      </c>
      <c r="B1468" s="1027" t="s">
        <v>3326</v>
      </c>
      <c r="C1468" s="1029"/>
      <c r="D1468" s="1043"/>
      <c r="E1468" s="1043"/>
      <c r="F1468" s="1043"/>
      <c r="G1468" s="1029"/>
      <c r="H1468" s="583"/>
      <c r="I1468" s="1029"/>
      <c r="J1468" s="1061" t="s">
        <v>420</v>
      </c>
      <c r="K1468" s="586"/>
      <c r="L1468" s="1029"/>
      <c r="M1468" s="938">
        <v>1</v>
      </c>
      <c r="N1468" s="830"/>
      <c r="O1468" s="938">
        <f>MIN($M1468,SUM(O1469:O1470))</f>
        <v>1</v>
      </c>
      <c r="P1468" s="938">
        <f>MIN($M1468,SUM(P1469:P1470))</f>
        <v>0</v>
      </c>
      <c r="Q1468" s="938" t="s">
        <v>464</v>
      </c>
      <c r="U1468" s="1025">
        <f>'Part IX A-Scoring Criteria'!O150</f>
        <v>1</v>
      </c>
    </row>
    <row r="1469" spans="1:21" ht="15">
      <c r="A1469" s="997" t="s">
        <v>2119</v>
      </c>
      <c r="B1469" s="937" t="s">
        <v>2382</v>
      </c>
      <c r="C1469" s="1055"/>
      <c r="D1469" s="1061"/>
      <c r="E1469" s="1061"/>
      <c r="F1469" s="1023"/>
      <c r="H1469" s="1055"/>
      <c r="I1469" s="1055"/>
      <c r="J1469" s="1055"/>
      <c r="K1469" s="989" t="s">
        <v>2923</v>
      </c>
      <c r="L1469" s="1010" t="str">
        <f>'Part IX A-Scoring Criteria'!L151</f>
        <v>Yes</v>
      </c>
      <c r="M1469" s="830">
        <v>1</v>
      </c>
      <c r="N1469" s="989" t="s">
        <v>2119</v>
      </c>
      <c r="O1469" s="1052">
        <f>'Part IX A-Scoring Criteria'!O151</f>
        <v>1</v>
      </c>
      <c r="P1469" s="938"/>
      <c r="Q1469" s="1045"/>
    </row>
    <row r="1470" spans="1:21" ht="15">
      <c r="A1470" s="997" t="s">
        <v>2122</v>
      </c>
      <c r="B1470" s="937" t="s">
        <v>2383</v>
      </c>
      <c r="C1470" s="1029"/>
      <c r="D1470" s="583"/>
      <c r="E1470" s="1029"/>
      <c r="F1470" s="1029"/>
      <c r="G1470" s="1029"/>
      <c r="H1470" s="985" t="s">
        <v>2910</v>
      </c>
      <c r="I1470" s="1029"/>
      <c r="J1470" s="1029"/>
      <c r="K1470" s="583"/>
      <c r="L1470" s="1010" t="str">
        <f>'Part IX A-Scoring Criteria'!L152</f>
        <v>No</v>
      </c>
      <c r="M1470" s="830">
        <v>1</v>
      </c>
      <c r="N1470" s="989" t="s">
        <v>2122</v>
      </c>
      <c r="O1470" s="1052">
        <f>'Part IX A-Scoring Criteria'!O152</f>
        <v>0</v>
      </c>
      <c r="P1470" s="938"/>
      <c r="Q1470" s="1045"/>
    </row>
    <row r="1471" spans="1:21" ht="15">
      <c r="A1471" s="582"/>
      <c r="B1471" s="991" t="s">
        <v>270</v>
      </c>
      <c r="C1471" s="582"/>
      <c r="D1471" s="586"/>
      <c r="E1471" s="586"/>
      <c r="F1471" s="586"/>
      <c r="G1471" s="586"/>
      <c r="H1471" s="583"/>
      <c r="I1471" s="583"/>
      <c r="J1471" s="583"/>
      <c r="K1471" s="583"/>
      <c r="L1471" s="1029"/>
      <c r="M1471" s="830"/>
      <c r="N1471" s="834"/>
      <c r="O1471" s="1025"/>
      <c r="P1471" s="836"/>
      <c r="Q1471" s="1029"/>
    </row>
    <row r="1472" spans="1:21" ht="15.75">
      <c r="A1472" s="1583" t="str">
        <f>'Part IX A-Scoring Criteria'!A154</f>
        <v>The Benoit Group, LLC agrees to remain rent restricted and income restricted for the Compliance Period and for 15 years after the close of the Compliance Period.</v>
      </c>
      <c r="B1472" s="1583"/>
      <c r="C1472" s="1583"/>
      <c r="D1472" s="1583"/>
      <c r="E1472" s="1583"/>
      <c r="F1472" s="1583"/>
      <c r="G1472" s="1583"/>
      <c r="H1472" s="1583"/>
      <c r="I1472" s="1583"/>
      <c r="J1472" s="1583"/>
      <c r="K1472" s="1583"/>
      <c r="L1472" s="1583"/>
      <c r="M1472" s="1583"/>
      <c r="N1472" s="1583"/>
      <c r="O1472" s="1583"/>
      <c r="P1472" s="1583"/>
      <c r="Q1472" s="1030" t="s">
        <v>1333</v>
      </c>
    </row>
    <row r="1473" spans="1:21" ht="15">
      <c r="A1473" s="582"/>
      <c r="B1473" s="992" t="s">
        <v>1997</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1333</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248</v>
      </c>
      <c r="B1476" s="1033" t="s">
        <v>2902</v>
      </c>
      <c r="C1476" s="1034"/>
      <c r="D1476" s="1013"/>
      <c r="E1476" s="583"/>
      <c r="F1476" s="1029"/>
      <c r="G1476" s="1029"/>
      <c r="H1476" s="1029"/>
      <c r="I1476" s="1029"/>
      <c r="J1476" s="1029"/>
      <c r="K1476" s="1029"/>
      <c r="L1476" s="1029"/>
      <c r="M1476" s="938">
        <v>3</v>
      </c>
      <c r="N1476" s="830"/>
      <c r="O1476" s="830"/>
      <c r="P1476" s="938"/>
      <c r="Q1476" s="938" t="s">
        <v>464</v>
      </c>
      <c r="U1476" s="1025">
        <f>'Part IX A-Scoring Criteria'!O158</f>
        <v>0</v>
      </c>
    </row>
    <row r="1477" spans="1:21" ht="15">
      <c r="A1477" s="1063"/>
      <c r="B1477" s="874" t="s">
        <v>2914</v>
      </c>
      <c r="C1477" s="1034"/>
      <c r="D1477" s="1013"/>
      <c r="E1477" s="583"/>
      <c r="F1477" s="1029"/>
      <c r="G1477" s="833" t="str">
        <f>'Part I-Project Information'!$H$81</f>
        <v>No</v>
      </c>
      <c r="H1477" s="1029"/>
      <c r="I1477" s="1029"/>
      <c r="J1477" s="1061"/>
      <c r="K1477" s="1029"/>
      <c r="L1477" s="1029"/>
      <c r="M1477" s="938"/>
      <c r="N1477" s="938"/>
      <c r="O1477" s="998" t="s">
        <v>2682</v>
      </c>
      <c r="P1477" s="998" t="s">
        <v>2682</v>
      </c>
      <c r="Q1477" s="938"/>
    </row>
    <row r="1478" spans="1:21" ht="15">
      <c r="A1478" s="997"/>
      <c r="B1478" s="565" t="s">
        <v>2504</v>
      </c>
      <c r="C1478" s="1029"/>
      <c r="D1478" s="582"/>
      <c r="E1478" s="1029"/>
      <c r="F1478" s="1029"/>
      <c r="G1478" s="1029"/>
      <c r="H1478" s="1029"/>
      <c r="I1478" s="1029"/>
      <c r="J1478" s="1029"/>
      <c r="K1478" s="1029"/>
      <c r="L1478" s="1029"/>
      <c r="M1478" s="1029"/>
      <c r="N1478" s="989"/>
      <c r="O1478" s="1052" t="str">
        <f>'Part IX A-Scoring Criteria'!O160</f>
        <v>No</v>
      </c>
      <c r="P1478" s="1010"/>
      <c r="Q1478" s="1029"/>
    </row>
    <row r="1479" spans="1:21" ht="15">
      <c r="A1479" s="997"/>
      <c r="B1479" s="565" t="s">
        <v>3544</v>
      </c>
      <c r="C1479" s="1029"/>
      <c r="D1479" s="582"/>
      <c r="E1479" s="1029"/>
      <c r="F1479" s="1029"/>
      <c r="G1479" s="1029"/>
      <c r="H1479" s="1029"/>
      <c r="I1479" s="1029"/>
      <c r="J1479" s="1029"/>
      <c r="K1479" s="1029"/>
      <c r="L1479" s="1029"/>
      <c r="M1479" s="1029"/>
      <c r="N1479" s="989"/>
      <c r="O1479" s="1052" t="str">
        <f>'Part IX A-Scoring Criteria'!O161</f>
        <v>N/a</v>
      </c>
      <c r="P1479" s="1010"/>
      <c r="Q1479" s="1029"/>
    </row>
    <row r="1480" spans="1:21" ht="15">
      <c r="A1480" s="582"/>
      <c r="B1480" s="991" t="s">
        <v>270</v>
      </c>
      <c r="C1480" s="582"/>
      <c r="D1480" s="586"/>
      <c r="E1480" s="586"/>
      <c r="F1480" s="586"/>
      <c r="G1480" s="586"/>
      <c r="H1480" s="583"/>
      <c r="I1480" s="583"/>
      <c r="J1480" s="583"/>
      <c r="K1480" s="583"/>
      <c r="L1480" s="1029"/>
      <c r="M1480" s="830"/>
      <c r="N1480" s="834"/>
      <c r="O1480" s="1025"/>
      <c r="P1480" s="836"/>
      <c r="Q1480" s="1029"/>
    </row>
    <row r="1481" spans="1:21" ht="15.75">
      <c r="A1481" s="1583" t="str">
        <f>'Part IX A-Scoring Criteria'!A163</f>
        <v>N/A</v>
      </c>
      <c r="B1481" s="1583"/>
      <c r="C1481" s="1583"/>
      <c r="D1481" s="1583"/>
      <c r="E1481" s="1583"/>
      <c r="F1481" s="1583"/>
      <c r="G1481" s="1583"/>
      <c r="H1481" s="1583"/>
      <c r="I1481" s="1583"/>
      <c r="J1481" s="1583"/>
      <c r="K1481" s="1583"/>
      <c r="L1481" s="1583"/>
      <c r="M1481" s="1583"/>
      <c r="N1481" s="1583"/>
      <c r="O1481" s="1583"/>
      <c r="P1481" s="1583"/>
      <c r="Q1481" s="1030" t="s">
        <v>1333</v>
      </c>
    </row>
    <row r="1482" spans="1:21" ht="15">
      <c r="A1482" s="1029"/>
      <c r="B1482" s="992" t="s">
        <v>1997</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1333</v>
      </c>
    </row>
    <row r="1484" spans="1:21">
      <c r="N1484" s="834"/>
      <c r="O1484" s="836"/>
      <c r="P1484" s="836"/>
    </row>
    <row r="1485" spans="1:21" ht="15">
      <c r="A1485" s="1026" t="s">
        <v>249</v>
      </c>
      <c r="B1485" s="1027" t="s">
        <v>3327</v>
      </c>
      <c r="C1485" s="1064"/>
      <c r="D1485" s="1064"/>
      <c r="E1485" s="988" t="s">
        <v>3216</v>
      </c>
      <c r="F1485" s="1064"/>
      <c r="G1485" s="1043"/>
      <c r="H1485" s="565"/>
      <c r="I1485" s="1064"/>
      <c r="J1485" s="1064"/>
      <c r="K1485" s="938">
        <f>'Part VI-Revenues &amp; Expenses'!$M$62</f>
        <v>132</v>
      </c>
      <c r="L1485" s="639" t="s">
        <v>1918</v>
      </c>
      <c r="M1485" s="938">
        <v>3</v>
      </c>
      <c r="N1485" s="1057" t="str">
        <f>IF(OR($O1485=$M1485,$O1485=0,$O1485=""),"","***")</f>
        <v/>
      </c>
      <c r="O1485" s="1052">
        <f>'Part IX A-Scoring Criteria'!O167</f>
        <v>0</v>
      </c>
      <c r="P1485" s="938"/>
      <c r="Q1485" s="938" t="s">
        <v>464</v>
      </c>
      <c r="U1485" s="1025">
        <f>'Part IX A-Scoring Criteria'!O167</f>
        <v>0</v>
      </c>
    </row>
    <row r="1486" spans="1:21" ht="15">
      <c r="A1486" s="1026"/>
      <c r="B1486" s="937" t="s">
        <v>3249</v>
      </c>
      <c r="C1486" s="831"/>
      <c r="D1486" s="1064"/>
      <c r="E1486" s="1065" t="str">
        <f>'Part I-Project Information'!$H$85</f>
        <v>Flexible</v>
      </c>
      <c r="F1486" s="1064"/>
      <c r="G1486" s="988" t="str">
        <f>IF(E1486="Flexible","(NOTE: Only Rural pool applicants are eligible for this section.)","")</f>
        <v>(NOTE: Only Rural pool applicants are eligible for this section.)</v>
      </c>
      <c r="H1486" s="565"/>
      <c r="I1486" s="1066"/>
      <c r="J1486" s="639"/>
      <c r="K1486" s="1067">
        <f>'Part VI-Revenues &amp; Expenses'!$M$74/'Part VI-Revenues &amp; Expenses'!$M$62</f>
        <v>0</v>
      </c>
      <c r="L1486" s="639" t="s">
        <v>3206</v>
      </c>
      <c r="M1486" s="938"/>
      <c r="N1486" s="1057"/>
      <c r="O1486" s="1057"/>
      <c r="P1486" s="1057"/>
      <c r="Q1486" s="938"/>
    </row>
    <row r="1487" spans="1:21" ht="15">
      <c r="A1487" s="1026"/>
      <c r="B1487" s="1580" t="s">
        <v>2970</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270</v>
      </c>
      <c r="C1488" s="582"/>
      <c r="D1488" s="586"/>
      <c r="E1488" s="586"/>
      <c r="F1488" s="586"/>
      <c r="G1488" s="586"/>
      <c r="H1488" s="583"/>
      <c r="I1488" s="583"/>
      <c r="J1488" s="992" t="s">
        <v>1997</v>
      </c>
      <c r="K1488" s="1029"/>
      <c r="L1488" s="1029"/>
      <c r="M1488" s="830"/>
      <c r="N1488" s="834"/>
      <c r="O1488" s="1025"/>
      <c r="P1488" s="836"/>
      <c r="Q1488" s="1029"/>
    </row>
    <row r="1489" spans="1:21" ht="15.75">
      <c r="A1489" s="1583" t="str">
        <f>'Part IX A-Scoring Criteria'!A171</f>
        <v>N/A</v>
      </c>
      <c r="B1489" s="1583"/>
      <c r="C1489" s="1583"/>
      <c r="D1489" s="1583"/>
      <c r="E1489" s="1583"/>
      <c r="F1489" s="1583"/>
      <c r="G1489" s="1583"/>
      <c r="H1489" s="1583"/>
      <c r="I1489" s="1583"/>
      <c r="J1489" s="1583"/>
      <c r="K1489" s="1583"/>
      <c r="L1489" s="1583"/>
      <c r="M1489" s="1583"/>
      <c r="N1489" s="1583"/>
      <c r="O1489" s="1583"/>
      <c r="P1489" s="1583"/>
      <c r="Q1489" s="1030" t="s">
        <v>1333</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1495</v>
      </c>
      <c r="B1491" s="1033" t="s">
        <v>1787</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0</v>
      </c>
      <c r="P1491" s="938"/>
      <c r="Q1491" s="938" t="s">
        <v>464</v>
      </c>
      <c r="U1491" s="1025">
        <f>'Part IX A-Scoring Criteria'!O173</f>
        <v>0</v>
      </c>
    </row>
    <row r="1492" spans="1:21" ht="15">
      <c r="A1492" s="1029"/>
      <c r="B1492" s="1004" t="s">
        <v>3328</v>
      </c>
      <c r="C1492" s="1029"/>
      <c r="D1492" s="1055"/>
      <c r="E1492" s="1034"/>
      <c r="F1492" s="583"/>
      <c r="G1492" s="583"/>
      <c r="H1492" s="583"/>
      <c r="I1492" s="1010"/>
      <c r="J1492" s="1029"/>
      <c r="K1492" s="1029"/>
      <c r="L1492" s="1029"/>
      <c r="M1492" s="1029"/>
      <c r="N1492" s="1029"/>
      <c r="O1492" s="998" t="s">
        <v>2682</v>
      </c>
      <c r="P1492" s="998" t="s">
        <v>2682</v>
      </c>
      <c r="Q1492" s="1029"/>
    </row>
    <row r="1493" spans="1:21">
      <c r="A1493" s="997" t="s">
        <v>2119</v>
      </c>
      <c r="B1493" s="583" t="s">
        <v>3531</v>
      </c>
      <c r="C1493" s="565"/>
      <c r="D1493" s="583"/>
      <c r="E1493" s="583"/>
      <c r="F1493" s="583"/>
      <c r="G1493" s="565"/>
      <c r="H1493" s="565"/>
      <c r="I1493" s="565"/>
      <c r="J1493" s="1576" t="str">
        <f>'Part IX A-Scoring Criteria'!J175</f>
        <v>&lt; Select applicable GICH &gt;</v>
      </c>
      <c r="K1493" s="1576"/>
      <c r="L1493" s="1576"/>
      <c r="M1493" s="565"/>
      <c r="N1493" s="989" t="s">
        <v>2119</v>
      </c>
      <c r="O1493" s="1052" t="str">
        <f>'Part IX A-Scoring Criteria'!O175</f>
        <v>No</v>
      </c>
      <c r="P1493" s="1010"/>
      <c r="Q1493" s="565"/>
    </row>
    <row r="1494" spans="1:21">
      <c r="A1494" s="997" t="s">
        <v>2122</v>
      </c>
      <c r="B1494" s="583" t="s">
        <v>3532</v>
      </c>
      <c r="C1494" s="565"/>
      <c r="D1494" s="583"/>
      <c r="E1494" s="583"/>
      <c r="F1494" s="583"/>
      <c r="G1494" s="583"/>
      <c r="H1494" s="565"/>
      <c r="I1494" s="565"/>
      <c r="J1494" s="565"/>
      <c r="K1494" s="565"/>
      <c r="L1494" s="583"/>
      <c r="M1494" s="583"/>
      <c r="N1494" s="989" t="s">
        <v>2122</v>
      </c>
      <c r="O1494" s="1052" t="str">
        <f>'Part IX A-Scoring Criteria'!O176</f>
        <v>No</v>
      </c>
      <c r="P1494" s="1010"/>
      <c r="Q1494" s="565"/>
    </row>
    <row r="1495" spans="1:21">
      <c r="A1495" s="997" t="s">
        <v>800</v>
      </c>
      <c r="B1495" s="583" t="s">
        <v>3533</v>
      </c>
      <c r="C1495" s="565"/>
      <c r="D1495" s="583"/>
      <c r="E1495" s="583"/>
      <c r="F1495" s="583"/>
      <c r="G1495" s="583"/>
      <c r="H1495" s="583"/>
      <c r="I1495" s="565"/>
      <c r="J1495" s="565"/>
      <c r="K1495" s="565"/>
      <c r="L1495" s="583"/>
      <c r="M1495" s="583"/>
      <c r="N1495" s="989" t="s">
        <v>800</v>
      </c>
      <c r="O1495" s="1052" t="str">
        <f>'Part IX A-Scoring Criteria'!O177</f>
        <v>No</v>
      </c>
      <c r="P1495" s="1010"/>
      <c r="Q1495" s="565"/>
    </row>
    <row r="1496" spans="1:21">
      <c r="A1496" s="997" t="s">
        <v>2254</v>
      </c>
      <c r="B1496" s="583" t="s">
        <v>3534</v>
      </c>
      <c r="C1496" s="565"/>
      <c r="D1496" s="583"/>
      <c r="E1496" s="583"/>
      <c r="F1496" s="583"/>
      <c r="G1496" s="583"/>
      <c r="H1496" s="583"/>
      <c r="I1496" s="583"/>
      <c r="J1496" s="583"/>
      <c r="K1496" s="583"/>
      <c r="L1496" s="583"/>
      <c r="M1496" s="583"/>
      <c r="N1496" s="989" t="s">
        <v>2254</v>
      </c>
      <c r="O1496" s="1052" t="str">
        <f>'Part IX A-Scoring Criteria'!O178</f>
        <v>No</v>
      </c>
      <c r="P1496" s="1010"/>
      <c r="Q1496" s="565"/>
    </row>
    <row r="1497" spans="1:21">
      <c r="A1497" s="1068" t="s">
        <v>3535</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270</v>
      </c>
      <c r="C1498" s="582"/>
      <c r="D1498" s="586"/>
      <c r="E1498" s="586"/>
      <c r="F1498" s="586"/>
      <c r="G1498" s="586"/>
      <c r="H1498" s="583"/>
      <c r="I1498" s="583"/>
      <c r="J1498" s="992" t="s">
        <v>1997</v>
      </c>
      <c r="K1498" s="1029"/>
      <c r="L1498" s="1029"/>
      <c r="M1498" s="830"/>
      <c r="N1498" s="834"/>
      <c r="O1498" s="1025"/>
      <c r="P1498" s="836"/>
      <c r="Q1498" s="1029"/>
    </row>
    <row r="1499" spans="1:21" ht="15.75">
      <c r="A1499" s="1583" t="str">
        <f>'Part IX A-Scoring Criteria'!A181</f>
        <v>N/A</v>
      </c>
      <c r="B1499" s="1583"/>
      <c r="C1499" s="1583"/>
      <c r="D1499" s="1583"/>
      <c r="E1499" s="1583"/>
      <c r="F1499" s="1583"/>
      <c r="G1499" s="1583"/>
      <c r="H1499" s="1583"/>
      <c r="I1499" s="1583"/>
      <c r="J1499" s="1583"/>
      <c r="K1499" s="1583"/>
      <c r="L1499" s="1583"/>
      <c r="M1499" s="1583"/>
      <c r="N1499" s="1583"/>
      <c r="O1499" s="1583"/>
      <c r="P1499" s="1583"/>
      <c r="Q1499" s="1030" t="s">
        <v>1333</v>
      </c>
    </row>
    <row r="1500" spans="1:21">
      <c r="N1500" s="834"/>
      <c r="O1500" s="836"/>
      <c r="P1500" s="836"/>
    </row>
    <row r="1501" spans="1:21" ht="15">
      <c r="A1501" s="1026" t="s">
        <v>1786</v>
      </c>
      <c r="B1501" s="1033" t="s">
        <v>3331</v>
      </c>
      <c r="C1501" s="1029"/>
      <c r="D1501" s="1034"/>
      <c r="E1501" s="1034"/>
      <c r="F1501" s="583"/>
      <c r="G1501" s="583"/>
      <c r="H1501" s="583"/>
      <c r="I1501" s="937" t="s">
        <v>3249</v>
      </c>
      <c r="J1501" s="831"/>
      <c r="K1501" s="1064"/>
      <c r="L1501" s="937" t="str">
        <f>'Part I-Project Information'!$H$85</f>
        <v>Flexible</v>
      </c>
      <c r="M1501" s="1025">
        <v>7</v>
      </c>
      <c r="N1501" s="830"/>
      <c r="O1501" s="1025">
        <f>O1508+O1525+O1527</f>
        <v>0</v>
      </c>
      <c r="P1501" s="1025">
        <f>P1508+P1525+P1527</f>
        <v>0</v>
      </c>
      <c r="Q1501" s="938" t="s">
        <v>464</v>
      </c>
      <c r="U1501" s="1025">
        <f>'Part IX A-Scoring Criteria'!O183</f>
        <v>0</v>
      </c>
    </row>
    <row r="1502" spans="1:21" ht="15">
      <c r="A1502" s="582"/>
      <c r="B1502" s="1004" t="s">
        <v>3545</v>
      </c>
      <c r="C1502" s="1029"/>
      <c r="D1502" s="1029"/>
      <c r="E1502" s="1034"/>
      <c r="F1502" s="583"/>
      <c r="G1502" s="583"/>
      <c r="H1502" s="583"/>
      <c r="I1502" s="583"/>
      <c r="J1502" s="1029"/>
      <c r="K1502" s="985"/>
      <c r="L1502" s="1069"/>
      <c r="M1502" s="1029"/>
      <c r="N1502" s="1029"/>
      <c r="O1502" s="998" t="s">
        <v>2682</v>
      </c>
      <c r="P1502" s="998" t="s">
        <v>2682</v>
      </c>
      <c r="Q1502" s="1029"/>
    </row>
    <row r="1503" spans="1:21" ht="15">
      <c r="A1503" s="565"/>
      <c r="B1503" s="1070" t="s">
        <v>2123</v>
      </c>
      <c r="C1503" s="565" t="s">
        <v>3329</v>
      </c>
      <c r="D1503" s="565"/>
      <c r="E1503" s="1034"/>
      <c r="F1503" s="583"/>
      <c r="G1503" s="583"/>
      <c r="H1503" s="583"/>
      <c r="I1503" s="583"/>
      <c r="J1503" s="1029"/>
      <c r="K1503" s="985"/>
      <c r="L1503" s="1069" t="str">
        <f>IF(M1503&gt;14,"Over limit!","")</f>
        <v/>
      </c>
      <c r="M1503" s="565"/>
      <c r="N1503" s="1044" t="s">
        <v>2123</v>
      </c>
      <c r="O1503" s="1052" t="str">
        <f>'Part IX A-Scoring Criteria'!O185</f>
        <v>Yes</v>
      </c>
      <c r="P1503" s="1010"/>
      <c r="Q1503" s="565"/>
    </row>
    <row r="1504" spans="1:21">
      <c r="A1504" s="565"/>
      <c r="B1504" s="1070" t="s">
        <v>2125</v>
      </c>
      <c r="C1504" s="565" t="s">
        <v>603</v>
      </c>
      <c r="D1504" s="565"/>
      <c r="E1504" s="565"/>
      <c r="F1504" s="565"/>
      <c r="G1504" s="565"/>
      <c r="H1504" s="565"/>
      <c r="I1504" s="565"/>
      <c r="J1504" s="565"/>
      <c r="K1504" s="565"/>
      <c r="L1504" s="565"/>
      <c r="M1504" s="565"/>
      <c r="N1504" s="1044" t="s">
        <v>2125</v>
      </c>
      <c r="O1504" s="1052" t="str">
        <f>'Part IX A-Scoring Criteria'!O186</f>
        <v>Yes</v>
      </c>
      <c r="P1504" s="1010"/>
      <c r="Q1504" s="565"/>
    </row>
    <row r="1505" spans="1:17">
      <c r="A1505" s="565"/>
      <c r="B1505" s="1070" t="s">
        <v>2708</v>
      </c>
      <c r="C1505" s="565" t="s">
        <v>604</v>
      </c>
      <c r="D1505" s="565"/>
      <c r="E1505" s="565"/>
      <c r="F1505" s="565"/>
      <c r="G1505" s="565"/>
      <c r="H1505" s="565"/>
      <c r="I1505" s="565"/>
      <c r="J1505" s="565"/>
      <c r="K1505" s="565"/>
      <c r="L1505" s="565"/>
      <c r="M1505" s="565"/>
      <c r="N1505" s="1044" t="s">
        <v>2708</v>
      </c>
      <c r="O1505" s="1052" t="str">
        <f>'Part IX A-Scoring Criteria'!O187</f>
        <v>Yes</v>
      </c>
      <c r="P1505" s="1010"/>
      <c r="Q1505" s="565"/>
    </row>
    <row r="1506" spans="1:17">
      <c r="A1506" s="565"/>
      <c r="B1506" s="1070" t="s">
        <v>1302</v>
      </c>
      <c r="C1506" s="565" t="s">
        <v>605</v>
      </c>
      <c r="D1506" s="565"/>
      <c r="E1506" s="565"/>
      <c r="F1506" s="565"/>
      <c r="G1506" s="565"/>
      <c r="H1506" s="565"/>
      <c r="I1506" s="565"/>
      <c r="J1506" s="565"/>
      <c r="K1506" s="565"/>
      <c r="L1506" s="565"/>
      <c r="M1506" s="565"/>
      <c r="N1506" s="1044" t="s">
        <v>1302</v>
      </c>
      <c r="O1506" s="1052" t="str">
        <f>'Part IX A-Scoring Criteria'!O188</f>
        <v>Yes</v>
      </c>
      <c r="P1506" s="1010"/>
      <c r="Q1506" s="565"/>
    </row>
    <row r="1507" spans="1:17">
      <c r="A1507" s="565"/>
      <c r="B1507" s="1070" t="s">
        <v>1303</v>
      </c>
      <c r="C1507" s="565" t="s">
        <v>613</v>
      </c>
      <c r="D1507" s="565"/>
      <c r="E1507" s="565"/>
      <c r="F1507" s="565"/>
      <c r="G1507" s="565"/>
      <c r="H1507" s="565"/>
      <c r="I1507" s="565"/>
      <c r="J1507" s="565"/>
      <c r="K1507" s="565"/>
      <c r="L1507" s="565"/>
      <c r="M1507" s="565"/>
      <c r="N1507" s="1044" t="s">
        <v>1303</v>
      </c>
      <c r="O1507" s="1052" t="str">
        <f>'Part IX A-Scoring Criteria'!O189</f>
        <v>Yes</v>
      </c>
      <c r="P1507" s="1010"/>
      <c r="Q1507" s="565"/>
    </row>
    <row r="1508" spans="1:17" ht="15">
      <c r="A1508" s="997" t="s">
        <v>2119</v>
      </c>
      <c r="B1508" s="1068" t="s">
        <v>1974</v>
      </c>
      <c r="C1508" s="1029"/>
      <c r="D1508" s="988"/>
      <c r="E1508" s="988"/>
      <c r="F1508" s="582"/>
      <c r="G1508" s="1055"/>
      <c r="H1508" s="1055"/>
      <c r="I1508" s="1055"/>
      <c r="J1508" s="988"/>
      <c r="K1508" s="1055"/>
      <c r="L1508" s="582"/>
      <c r="M1508" s="830">
        <v>4</v>
      </c>
      <c r="N1508" s="989" t="s">
        <v>2119</v>
      </c>
      <c r="O1508" s="966">
        <f>IF(AND($L1501="Flexible",$I1524&gt;=0.15), 4,IF(AND($L1501="Flexible",$I1524&gt;=0.1), 3,IF(AND($L1501="Flexible",$I1524&gt;=0.05), 2,IF(AND($L1501="Flexible",$I1524&gt;=0.02), 1,IF(AND($L1501="Rural",$I1524&gt;=0.1), 4,IF(AND($L1501="Rural",$I1524&gt;=0.05), 2,IF(AND($L1501="Rural",$I1524&gt;=0.02), 1,0)))))))</f>
        <v>0</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2123</v>
      </c>
      <c r="C1509" s="1018" t="s">
        <v>2820</v>
      </c>
      <c r="I1509" s="1602" t="s">
        <v>2127</v>
      </c>
      <c r="J1509" s="1602"/>
      <c r="L1509" s="1071" t="s">
        <v>2127</v>
      </c>
      <c r="N1509" s="1044" t="s">
        <v>2123</v>
      </c>
      <c r="O1509" s="836"/>
      <c r="P1509" s="836"/>
    </row>
    <row r="1510" spans="1:17" ht="15">
      <c r="A1510" s="947"/>
      <c r="B1510" s="1072"/>
      <c r="C1510" s="989" t="s">
        <v>2600</v>
      </c>
      <c r="D1510" s="583" t="s">
        <v>1581</v>
      </c>
      <c r="E1510" s="1029"/>
      <c r="F1510" s="1029"/>
      <c r="G1510" s="1029"/>
      <c r="H1510" s="565"/>
      <c r="I1510" s="1603">
        <f>'Part IX A-Scoring Criteria'!I192</f>
        <v>0</v>
      </c>
      <c r="J1510" s="1603"/>
      <c r="K1510" s="1013"/>
      <c r="L1510" s="1073">
        <f>'Part IX A-Scoring Criteria'!L192</f>
        <v>0</v>
      </c>
      <c r="M1510" s="830"/>
      <c r="N1510" s="989" t="s">
        <v>2600</v>
      </c>
      <c r="O1510" s="1052">
        <f>'Part IX A-Scoring Criteria'!O192</f>
        <v>0</v>
      </c>
      <c r="P1510" s="1010"/>
      <c r="Q1510" s="1029"/>
    </row>
    <row r="1511" spans="1:17">
      <c r="A1511" s="974"/>
      <c r="B1511" s="834"/>
      <c r="C1511" s="1008" t="s">
        <v>2601</v>
      </c>
      <c r="D1511" s="583" t="s">
        <v>1582</v>
      </c>
      <c r="H1511" s="565"/>
      <c r="I1511" s="1603">
        <f>'Part IX A-Scoring Criteria'!I193</f>
        <v>0</v>
      </c>
      <c r="J1511" s="1603"/>
      <c r="L1511" s="1073">
        <f>'Part IX A-Scoring Criteria'!L193</f>
        <v>0</v>
      </c>
      <c r="M1511" s="830"/>
      <c r="N1511" s="1008" t="s">
        <v>2601</v>
      </c>
      <c r="O1511" s="1052">
        <f>'Part IX A-Scoring Criteria'!O193</f>
        <v>0</v>
      </c>
      <c r="P1511" s="1010"/>
    </row>
    <row r="1512" spans="1:17">
      <c r="B1512" s="1070"/>
      <c r="C1512" s="989" t="s">
        <v>2602</v>
      </c>
      <c r="D1512" s="583" t="s">
        <v>2819</v>
      </c>
      <c r="H1512" s="565"/>
      <c r="I1512" s="1603">
        <f>'Part IX A-Scoring Criteria'!I194</f>
        <v>0</v>
      </c>
      <c r="J1512" s="1603"/>
      <c r="L1512" s="1073">
        <f>'Part IX A-Scoring Criteria'!L194</f>
        <v>0</v>
      </c>
      <c r="M1512" s="830"/>
      <c r="N1512" s="989" t="s">
        <v>2602</v>
      </c>
      <c r="O1512" s="1052">
        <f>'Part IX A-Scoring Criteria'!O194</f>
        <v>0</v>
      </c>
      <c r="P1512" s="1010"/>
    </row>
    <row r="1513" spans="1:17">
      <c r="A1513" s="974"/>
      <c r="B1513" s="1070"/>
      <c r="C1513" s="989" t="s">
        <v>2603</v>
      </c>
      <c r="D1513" s="583" t="s">
        <v>3330</v>
      </c>
      <c r="I1513" s="1603">
        <f>'Part IX A-Scoring Criteria'!I195</f>
        <v>0</v>
      </c>
      <c r="J1513" s="1603"/>
      <c r="L1513" s="1073">
        <f>'Part IX A-Scoring Criteria'!L195</f>
        <v>0</v>
      </c>
      <c r="M1513" s="830"/>
      <c r="N1513" s="989" t="s">
        <v>2603</v>
      </c>
      <c r="O1513" s="1052">
        <f>'Part IX A-Scoring Criteria'!O195</f>
        <v>0</v>
      </c>
      <c r="P1513" s="1010"/>
    </row>
    <row r="1514" spans="1:17" ht="15">
      <c r="A1514" s="947"/>
      <c r="B1514" s="1070"/>
      <c r="C1514" s="1008" t="s">
        <v>2604</v>
      </c>
      <c r="D1514" s="583" t="s">
        <v>1583</v>
      </c>
      <c r="E1514" s="1029"/>
      <c r="F1514" s="1029"/>
      <c r="G1514" s="1029"/>
      <c r="H1514" s="565"/>
      <c r="I1514" s="1603">
        <f>'Part IX A-Scoring Criteria'!I196</f>
        <v>0</v>
      </c>
      <c r="J1514" s="1603"/>
      <c r="K1514" s="1013"/>
      <c r="L1514" s="1073">
        <f>'Part IX A-Scoring Criteria'!L196</f>
        <v>0</v>
      </c>
      <c r="M1514" s="830"/>
      <c r="N1514" s="1008" t="s">
        <v>2604</v>
      </c>
      <c r="O1514" s="1052">
        <f>'Part IX A-Scoring Criteria'!O196</f>
        <v>0</v>
      </c>
      <c r="P1514" s="1010"/>
      <c r="Q1514" s="1029"/>
    </row>
    <row r="1515" spans="1:17">
      <c r="B1515" s="1070"/>
      <c r="C1515" s="989" t="s">
        <v>2620</v>
      </c>
      <c r="D1515" s="583" t="s">
        <v>1584</v>
      </c>
      <c r="H1515" s="565"/>
      <c r="I1515" s="1603">
        <f>'Part IX A-Scoring Criteria'!I197</f>
        <v>0</v>
      </c>
      <c r="J1515" s="1603"/>
      <c r="L1515" s="1073">
        <f>'Part IX A-Scoring Criteria'!L197</f>
        <v>0</v>
      </c>
      <c r="M1515" s="830"/>
      <c r="N1515" s="989" t="s">
        <v>2620</v>
      </c>
      <c r="O1515" s="1052">
        <f>'Part IX A-Scoring Criteria'!O197</f>
        <v>0</v>
      </c>
      <c r="P1515" s="1010"/>
    </row>
    <row r="1516" spans="1:17">
      <c r="A1516" s="974"/>
      <c r="B1516" s="1070"/>
      <c r="C1516" s="989" t="s">
        <v>2621</v>
      </c>
      <c r="D1516" s="583" t="s">
        <v>1585</v>
      </c>
      <c r="H1516" s="565"/>
      <c r="I1516" s="1603">
        <f>'Part IX A-Scoring Criteria'!I198</f>
        <v>0</v>
      </c>
      <c r="J1516" s="1603"/>
      <c r="L1516" s="1073">
        <f>'Part IX A-Scoring Criteria'!L198</f>
        <v>0</v>
      </c>
      <c r="M1516" s="830"/>
      <c r="N1516" s="989" t="s">
        <v>2621</v>
      </c>
      <c r="O1516" s="1052">
        <f>'Part IX A-Scoring Criteria'!O198</f>
        <v>0</v>
      </c>
      <c r="P1516" s="1010"/>
    </row>
    <row r="1517" spans="1:17">
      <c r="B1517" s="1070"/>
      <c r="C1517" s="989" t="s">
        <v>2622</v>
      </c>
      <c r="D1517" s="583" t="s">
        <v>2996</v>
      </c>
      <c r="H1517" s="565"/>
      <c r="I1517" s="1603">
        <f>'Part IX A-Scoring Criteria'!I199</f>
        <v>0</v>
      </c>
      <c r="J1517" s="1603"/>
      <c r="L1517" s="1073">
        <f>'Part IX A-Scoring Criteria'!L199</f>
        <v>0</v>
      </c>
      <c r="M1517" s="830"/>
      <c r="N1517" s="989" t="s">
        <v>2622</v>
      </c>
      <c r="O1517" s="1052">
        <f>'Part IX A-Scoring Criteria'!O199</f>
        <v>0</v>
      </c>
      <c r="P1517" s="1010"/>
    </row>
    <row r="1518" spans="1:17">
      <c r="A1518" s="974"/>
      <c r="B1518" s="1070"/>
      <c r="C1518" s="989" t="s">
        <v>2623</v>
      </c>
      <c r="D1518" s="583" t="s">
        <v>3536</v>
      </c>
      <c r="H1518" s="565"/>
      <c r="I1518" s="1603">
        <f>'Part IX A-Scoring Criteria'!I200</f>
        <v>0</v>
      </c>
      <c r="J1518" s="1603"/>
      <c r="L1518" s="1073">
        <f>'Part IX A-Scoring Criteria'!L200</f>
        <v>0</v>
      </c>
      <c r="M1518" s="830"/>
      <c r="N1518" s="989" t="s">
        <v>2623</v>
      </c>
      <c r="O1518" s="1052">
        <f>'Part IX A-Scoring Criteria'!O200</f>
        <v>0</v>
      </c>
      <c r="P1518" s="1010"/>
    </row>
    <row r="1519" spans="1:17">
      <c r="A1519" s="974"/>
      <c r="B1519" s="1070"/>
      <c r="C1519" s="989" t="s">
        <v>2624</v>
      </c>
      <c r="D1519" s="583" t="s">
        <v>3537</v>
      </c>
      <c r="H1519" s="565"/>
      <c r="I1519" s="1603">
        <f>'Part IX A-Scoring Criteria'!I201</f>
        <v>0</v>
      </c>
      <c r="J1519" s="1603"/>
      <c r="L1519" s="1073">
        <f>'Part IX A-Scoring Criteria'!L201</f>
        <v>0</v>
      </c>
      <c r="M1519" s="830"/>
      <c r="N1519" s="989" t="s">
        <v>2624</v>
      </c>
      <c r="O1519" s="1052">
        <f>'Part IX A-Scoring Criteria'!O201</f>
        <v>0</v>
      </c>
      <c r="P1519" s="1010"/>
    </row>
    <row r="1520" spans="1:17">
      <c r="A1520" s="974"/>
      <c r="B1520" s="1070"/>
      <c r="C1520" s="989" t="s">
        <v>635</v>
      </c>
      <c r="D1520" s="583" t="s">
        <v>3538</v>
      </c>
      <c r="H1520" s="565"/>
      <c r="I1520" s="1603">
        <f>'Part IX A-Scoring Criteria'!I202</f>
        <v>250000</v>
      </c>
      <c r="J1520" s="1603"/>
      <c r="L1520" s="1073">
        <f>'Part IX A-Scoring Criteria'!L202</f>
        <v>0</v>
      </c>
      <c r="M1520" s="830"/>
      <c r="N1520" s="989" t="s">
        <v>635</v>
      </c>
      <c r="O1520" s="1052" t="str">
        <f>'Part IX A-Scoring Criteria'!O202</f>
        <v>Yes</v>
      </c>
      <c r="P1520" s="1010"/>
    </row>
    <row r="1521" spans="1:21">
      <c r="A1521" s="974"/>
      <c r="B1521" s="1070"/>
      <c r="D1521" s="988" t="s">
        <v>2822</v>
      </c>
      <c r="H1521" s="565"/>
      <c r="I1521" s="1603">
        <f>SUM(I1510:J1520)</f>
        <v>250000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2125</v>
      </c>
      <c r="C1523" s="1018" t="s">
        <v>2821</v>
      </c>
      <c r="D1523" s="988" t="s">
        <v>2823</v>
      </c>
      <c r="I1523" s="1603">
        <f>'Part IV-Uses of Funds'!$G$130</f>
        <v>13472490.989599999</v>
      </c>
      <c r="J1523" s="1603"/>
    </row>
    <row r="1524" spans="1:21">
      <c r="B1524" s="1044"/>
      <c r="C1524" s="1075"/>
      <c r="D1524" s="999" t="s">
        <v>2824</v>
      </c>
      <c r="G1524" s="1073"/>
      <c r="H1524" s="1073"/>
      <c r="I1524" s="1595">
        <f>IF($I1523=0,0,$I1521/$I1523)</f>
        <v>1.8556330836887243E-2</v>
      </c>
      <c r="J1524" s="1595"/>
      <c r="L1524" s="1076">
        <f>IF($I1523=0,0,$L1521/$I1523)</f>
        <v>0</v>
      </c>
    </row>
    <row r="1525" spans="1:21" ht="15">
      <c r="A1525" s="997" t="s">
        <v>2122</v>
      </c>
      <c r="B1525" s="1068" t="s">
        <v>2911</v>
      </c>
      <c r="C1525" s="1029"/>
      <c r="D1525" s="583"/>
      <c r="E1525" s="583"/>
      <c r="F1525" s="938"/>
      <c r="G1525" s="1029"/>
      <c r="H1525" s="583"/>
      <c r="I1525" s="938"/>
      <c r="J1525" s="988"/>
      <c r="K1525" s="988"/>
      <c r="L1525" s="988"/>
      <c r="M1525" s="830">
        <v>1</v>
      </c>
      <c r="N1525" s="989" t="s">
        <v>2122</v>
      </c>
      <c r="O1525" s="1052">
        <f>'Part IX A-Scoring Criteria'!O207</f>
        <v>0</v>
      </c>
      <c r="P1525" s="938"/>
      <c r="Q1525" s="1045" t="s">
        <v>2948</v>
      </c>
    </row>
    <row r="1526" spans="1:21" ht="15">
      <c r="A1526" s="997"/>
      <c r="B1526" s="583" t="s">
        <v>3332</v>
      </c>
      <c r="C1526" s="583"/>
      <c r="D1526" s="583"/>
      <c r="E1526" s="583"/>
      <c r="F1526" s="583"/>
      <c r="G1526" s="583"/>
      <c r="H1526" s="583"/>
      <c r="I1526" s="583"/>
      <c r="J1526" s="583"/>
      <c r="K1526" s="583"/>
      <c r="L1526" s="583"/>
      <c r="M1526" s="583"/>
      <c r="N1526" s="583"/>
      <c r="O1526" s="1052" t="str">
        <f>'Part IX A-Scoring Criteria'!O208</f>
        <v>No</v>
      </c>
      <c r="P1526" s="1010"/>
      <c r="Q1526" s="1029"/>
    </row>
    <row r="1527" spans="1:21" ht="15">
      <c r="A1527" s="997" t="s">
        <v>800</v>
      </c>
      <c r="B1527" s="1068" t="s">
        <v>687</v>
      </c>
      <c r="C1527" s="1029"/>
      <c r="D1527" s="583"/>
      <c r="E1527" s="583"/>
      <c r="F1527" s="938"/>
      <c r="G1527" s="938"/>
      <c r="H1527" s="938"/>
      <c r="I1527" s="938"/>
      <c r="J1527" s="988"/>
      <c r="K1527" s="988"/>
      <c r="L1527" s="988"/>
      <c r="M1527" s="830">
        <v>2</v>
      </c>
      <c r="N1527" s="989" t="s">
        <v>800</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3636</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3382</v>
      </c>
      <c r="C1529" s="1029"/>
      <c r="D1529" s="1029"/>
      <c r="E1529" s="1580">
        <f>'Part IX A-Scoring Criteria'!E211</f>
        <v>0</v>
      </c>
      <c r="F1529" s="1580"/>
      <c r="G1529" s="1580"/>
      <c r="H1529" s="1580"/>
      <c r="I1529" s="1580"/>
      <c r="J1529" s="1580"/>
      <c r="K1529" s="998" t="s">
        <v>1383</v>
      </c>
      <c r="L1529" s="1584" t="str">
        <f>'Part IX A-Scoring Criteria'!L211</f>
        <v>&lt;Select unrelated 3rd party type&gt;</v>
      </c>
      <c r="M1529" s="1584"/>
      <c r="N1529" s="1584"/>
      <c r="O1529" s="1029"/>
      <c r="P1529" s="1029"/>
      <c r="Q1529" s="1029"/>
    </row>
    <row r="1530" spans="1:21">
      <c r="A1530" s="974"/>
      <c r="B1530" s="996" t="s">
        <v>2510</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270</v>
      </c>
      <c r="C1531" s="582"/>
      <c r="D1531" s="586"/>
      <c r="E1531" s="586"/>
      <c r="F1531" s="586"/>
      <c r="G1531" s="586"/>
      <c r="H1531" s="583"/>
      <c r="I1531" s="583"/>
      <c r="J1531" s="583"/>
      <c r="K1531" s="583"/>
      <c r="L1531" s="1029"/>
      <c r="M1531" s="830"/>
      <c r="N1531" s="834"/>
      <c r="O1531" s="1025"/>
      <c r="P1531" s="836"/>
      <c r="Q1531" s="1029"/>
    </row>
    <row r="1532" spans="1:21" ht="15.75">
      <c r="A1532" s="1583" t="str">
        <f>'Part IX A-Scoring Criteria'!A214</f>
        <v>N/A</v>
      </c>
      <c r="B1532" s="1583"/>
      <c r="C1532" s="1583"/>
      <c r="D1532" s="1583"/>
      <c r="E1532" s="1583"/>
      <c r="F1532" s="1583"/>
      <c r="G1532" s="1583"/>
      <c r="H1532" s="1583"/>
      <c r="I1532" s="1583"/>
      <c r="J1532" s="1583"/>
      <c r="K1532" s="1583"/>
      <c r="L1532" s="1583"/>
      <c r="M1532" s="1583"/>
      <c r="N1532" s="1583"/>
      <c r="O1532" s="1583"/>
      <c r="P1532" s="1583"/>
      <c r="Q1532" s="1030" t="s">
        <v>1333</v>
      </c>
    </row>
    <row r="1533" spans="1:21" ht="15">
      <c r="A1533" s="582"/>
      <c r="B1533" s="991" t="s">
        <v>1997</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1333</v>
      </c>
    </row>
    <row r="1535" spans="1:21">
      <c r="N1535" s="834"/>
      <c r="O1535" s="836"/>
      <c r="P1535" s="836"/>
    </row>
    <row r="1536" spans="1:21" ht="15">
      <c r="A1536" s="1026" t="s">
        <v>1788</v>
      </c>
      <c r="B1536" s="1027" t="s">
        <v>1791</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464</v>
      </c>
      <c r="U1536" s="1025">
        <f>'Part IX A-Scoring Criteria'!O218</f>
        <v>0</v>
      </c>
    </row>
    <row r="1537" spans="1:21" s="1029" customFormat="1" ht="12" customHeight="1">
      <c r="A1537" s="997" t="s">
        <v>2119</v>
      </c>
      <c r="B1537" s="937" t="s">
        <v>2998</v>
      </c>
      <c r="D1537" s="582"/>
      <c r="G1537" s="565" t="s">
        <v>2504</v>
      </c>
      <c r="M1537" s="830">
        <v>3</v>
      </c>
      <c r="N1537" s="989" t="s">
        <v>2119</v>
      </c>
      <c r="O1537" s="1052" t="str">
        <f>'Part IX A-Scoring Criteria'!O219</f>
        <v>No</v>
      </c>
      <c r="P1537" s="1010"/>
      <c r="R1537" s="1054"/>
    </row>
    <row r="1538" spans="1:21" s="1029" customFormat="1" ht="23.25" customHeight="1">
      <c r="A1538" s="1034" t="s">
        <v>1441</v>
      </c>
      <c r="B1538" s="1599" t="s">
        <v>3601</v>
      </c>
      <c r="C1538" s="1600"/>
      <c r="D1538" s="1600"/>
      <c r="E1538" s="1600"/>
      <c r="F1538" s="1600"/>
      <c r="G1538" s="1600"/>
      <c r="H1538" s="1600"/>
      <c r="I1538" s="1600"/>
      <c r="J1538" s="1600"/>
      <c r="K1538" s="1600"/>
      <c r="L1538" s="1600"/>
      <c r="M1538" s="830"/>
      <c r="N1538" s="834"/>
      <c r="O1538" s="1052" t="str">
        <f>'Part IX A-Scoring Criteria'!O220</f>
        <v>No</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2122</v>
      </c>
      <c r="B1540" s="937" t="s">
        <v>2997</v>
      </c>
      <c r="D1540" s="582"/>
      <c r="E1540" s="582"/>
      <c r="F1540" s="582"/>
      <c r="G1540" s="937" t="s">
        <v>3249</v>
      </c>
      <c r="I1540" s="940" t="str">
        <f>'Part I-Project Information'!$H$85</f>
        <v>Flexible</v>
      </c>
      <c r="R1540" s="1054"/>
    </row>
    <row r="1541" spans="1:21" s="1029" customFormat="1" ht="12" customHeight="1">
      <c r="A1541" s="997"/>
      <c r="B1541" s="565" t="s">
        <v>2504</v>
      </c>
      <c r="D1541" s="582"/>
      <c r="M1541" s="1072">
        <v>3</v>
      </c>
      <c r="N1541" s="989" t="s">
        <v>2122</v>
      </c>
      <c r="O1541" s="1052" t="str">
        <f>'Part IX A-Scoring Criteria'!O223</f>
        <v>No</v>
      </c>
      <c r="P1541" s="1010"/>
      <c r="R1541" s="1054"/>
    </row>
    <row r="1542" spans="1:21" s="1029" customFormat="1" ht="23.25" customHeight="1">
      <c r="A1542" s="1034"/>
      <c r="B1542" s="1599" t="s">
        <v>3601</v>
      </c>
      <c r="C1542" s="1600"/>
      <c r="D1542" s="1600"/>
      <c r="E1542" s="1600"/>
      <c r="F1542" s="1600"/>
      <c r="G1542" s="1600"/>
      <c r="H1542" s="1600"/>
      <c r="I1542" s="1600"/>
      <c r="J1542" s="1600"/>
      <c r="K1542" s="1600"/>
      <c r="L1542" s="1600"/>
      <c r="M1542" s="830"/>
      <c r="N1542" s="834"/>
      <c r="O1542" s="1052" t="str">
        <f>'Part IX A-Scoring Criteria'!O224</f>
        <v>No</v>
      </c>
      <c r="P1542" s="1010"/>
    </row>
    <row r="1543" spans="1:21" ht="15">
      <c r="A1543" s="582"/>
      <c r="B1543" s="991" t="s">
        <v>270</v>
      </c>
      <c r="C1543" s="582"/>
      <c r="D1543" s="586"/>
      <c r="E1543" s="586"/>
      <c r="F1543" s="586"/>
      <c r="G1543" s="586"/>
      <c r="H1543" s="583"/>
      <c r="I1543" s="583"/>
      <c r="J1543" s="583"/>
      <c r="K1543" s="583"/>
      <c r="L1543" s="1029"/>
      <c r="M1543" s="830"/>
      <c r="N1543" s="834"/>
      <c r="O1543" s="1025"/>
      <c r="P1543" s="836"/>
      <c r="Q1543" s="1029"/>
    </row>
    <row r="1544" spans="1:21" ht="15.75">
      <c r="A1544" s="1583" t="str">
        <f>'Part IX A-Scoring Criteria'!A226</f>
        <v>N/A</v>
      </c>
      <c r="B1544" s="1583"/>
      <c r="C1544" s="1583"/>
      <c r="D1544" s="1583"/>
      <c r="E1544" s="1583"/>
      <c r="F1544" s="1583"/>
      <c r="G1544" s="1583"/>
      <c r="H1544" s="1583"/>
      <c r="I1544" s="1583"/>
      <c r="J1544" s="1583"/>
      <c r="K1544" s="1583"/>
      <c r="L1544" s="1583"/>
      <c r="M1544" s="1583"/>
      <c r="N1544" s="1583"/>
      <c r="O1544" s="1583"/>
      <c r="P1544" s="1583"/>
      <c r="Q1544" s="1030" t="s">
        <v>1333</v>
      </c>
    </row>
    <row r="1545" spans="1:21" ht="15">
      <c r="A1545" s="582"/>
      <c r="B1545" s="991" t="s">
        <v>1997</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1333</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1789</v>
      </c>
      <c r="B1548" s="1033" t="s">
        <v>2971</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464</v>
      </c>
      <c r="U1548" s="1025">
        <f>'Part IX A-Scoring Criteria'!O230</f>
        <v>3</v>
      </c>
    </row>
    <row r="1549" spans="1:21" ht="15">
      <c r="A1549" s="997" t="s">
        <v>2119</v>
      </c>
      <c r="B1549" s="937" t="s">
        <v>3334</v>
      </c>
      <c r="C1549" s="1029"/>
      <c r="D1549" s="582"/>
      <c r="E1549" s="582"/>
      <c r="F1549" s="582"/>
      <c r="G1549" s="1029"/>
      <c r="H1549" s="1029"/>
      <c r="I1549" s="1029"/>
      <c r="J1549" s="1011" t="s">
        <v>3546</v>
      </c>
      <c r="K1549" s="1078">
        <f>'Part VI-Revenues &amp; Expenses'!$I$57/'Part VI-Revenues &amp; Expenses'!$M$58</f>
        <v>0</v>
      </c>
      <c r="L1549" s="1054" t="str">
        <f>IF(OR($O1549=$M1549,$O1549=0,$O1549=""),"","* * Check Score! * *")</f>
        <v/>
      </c>
      <c r="M1549" s="830">
        <v>3</v>
      </c>
      <c r="N1549" s="989" t="s">
        <v>2119</v>
      </c>
      <c r="O1549" s="1052">
        <f>'Part IX A-Scoring Criteria'!O231</f>
        <v>3</v>
      </c>
      <c r="P1549" s="938"/>
      <c r="Q1549" s="1045" t="s">
        <v>2948</v>
      </c>
    </row>
    <row r="1550" spans="1:21">
      <c r="A1550" s="1006"/>
      <c r="B1550" s="1060" t="s">
        <v>2123</v>
      </c>
      <c r="C1550" s="1587" t="s">
        <v>3335</v>
      </c>
      <c r="D1550" s="1587"/>
      <c r="E1550" s="1587"/>
      <c r="F1550" s="1587"/>
      <c r="G1550" s="1587"/>
      <c r="H1550" s="1587"/>
      <c r="I1550" s="1587"/>
      <c r="J1550" s="1587"/>
      <c r="K1550" s="1587"/>
      <c r="L1550" s="1587"/>
      <c r="M1550" s="1587"/>
      <c r="N1550" s="1051" t="s">
        <v>2123</v>
      </c>
      <c r="O1550" s="1052" t="str">
        <f>'Part IX A-Scoring Criteria'!O232</f>
        <v>Disagree</v>
      </c>
      <c r="P1550" s="1052"/>
      <c r="Q1550" s="1052"/>
    </row>
    <row r="1551" spans="1:21">
      <c r="A1551" s="1034" t="s">
        <v>1441</v>
      </c>
      <c r="B1551" s="1060" t="s">
        <v>2125</v>
      </c>
      <c r="C1551" s="1587" t="s">
        <v>3336</v>
      </c>
      <c r="D1551" s="1587"/>
      <c r="E1551" s="1587"/>
      <c r="F1551" s="1587"/>
      <c r="G1551" s="1587"/>
      <c r="H1551" s="1587"/>
      <c r="I1551" s="1587"/>
      <c r="J1551" s="1587"/>
      <c r="K1551" s="1587"/>
      <c r="L1551" s="1587"/>
      <c r="M1551" s="1587"/>
      <c r="N1551" s="1051" t="s">
        <v>2125</v>
      </c>
      <c r="O1551" s="1052" t="str">
        <f>'Part IX A-Scoring Criteria'!O233</f>
        <v>No</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2122</v>
      </c>
      <c r="B1553" s="937" t="s">
        <v>2972</v>
      </c>
      <c r="C1553" s="1029"/>
      <c r="D1553" s="988"/>
      <c r="E1553" s="1029"/>
      <c r="F1553" s="583" t="s">
        <v>3337</v>
      </c>
      <c r="G1553" s="1029"/>
      <c r="H1553" s="1584" t="str">
        <f>'Part IX A-Scoring Criteria'!H235</f>
        <v>&lt;&lt;Select applicable documentation&gt;&gt;</v>
      </c>
      <c r="I1553" s="1584"/>
      <c r="J1553" s="1584"/>
      <c r="K1553" s="1584"/>
      <c r="L1553" s="1054" t="str">
        <f>IF(OR($O1553=$M1553,$O1553=0,$O1553=""),"","* * Check Score! * *")</f>
        <v/>
      </c>
      <c r="M1553" s="830">
        <v>3</v>
      </c>
      <c r="N1553" s="989" t="s">
        <v>2122</v>
      </c>
      <c r="O1553" s="1052">
        <f>'Part IX A-Scoring Criteria'!O235</f>
        <v>0</v>
      </c>
      <c r="P1553" s="938"/>
      <c r="Q1553" s="1045" t="s">
        <v>2948</v>
      </c>
    </row>
    <row r="1554" spans="1:21" ht="15">
      <c r="A1554" s="582"/>
      <c r="B1554" s="991" t="s">
        <v>270</v>
      </c>
      <c r="C1554" s="582"/>
      <c r="D1554" s="586"/>
      <c r="E1554" s="586"/>
      <c r="F1554" s="586"/>
      <c r="G1554" s="586"/>
      <c r="H1554" s="583"/>
      <c r="I1554" s="583"/>
      <c r="J1554" s="583"/>
      <c r="K1554" s="583"/>
      <c r="L1554" s="1029"/>
      <c r="M1554" s="830"/>
      <c r="N1554" s="834"/>
      <c r="O1554" s="1025"/>
      <c r="P1554" s="836"/>
      <c r="Q1554" s="1029"/>
    </row>
    <row r="1555" spans="1:21" ht="15.75">
      <c r="A1555" s="1583" t="str">
        <f>'Part IX A-Scoring Criteria'!A237</f>
        <v>N/A</v>
      </c>
      <c r="B1555" s="1583"/>
      <c r="C1555" s="1583"/>
      <c r="D1555" s="1583"/>
      <c r="E1555" s="1583"/>
      <c r="F1555" s="1583"/>
      <c r="G1555" s="1583"/>
      <c r="H1555" s="1583"/>
      <c r="I1555" s="1583"/>
      <c r="J1555" s="1583"/>
      <c r="K1555" s="1583"/>
      <c r="L1555" s="1583"/>
      <c r="M1555" s="1583"/>
      <c r="N1555" s="1583"/>
      <c r="O1555" s="1583"/>
      <c r="P1555" s="1583"/>
      <c r="Q1555" s="1030" t="s">
        <v>1333</v>
      </c>
    </row>
    <row r="1556" spans="1:21" ht="15">
      <c r="A1556" s="1029"/>
      <c r="B1556" s="992" t="s">
        <v>1997</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1333</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1790</v>
      </c>
      <c r="B1559" s="1027" t="s">
        <v>2973</v>
      </c>
      <c r="C1559" s="1029"/>
      <c r="D1559" s="988"/>
      <c r="E1559" s="1029"/>
      <c r="F1559" s="988"/>
      <c r="G1559" s="1055"/>
      <c r="H1559" s="1061" t="s">
        <v>420</v>
      </c>
      <c r="I1559" s="1029"/>
      <c r="J1559" s="1029"/>
      <c r="K1559" s="1055"/>
      <c r="L1559" s="583"/>
      <c r="M1559" s="938">
        <v>2</v>
      </c>
      <c r="N1559" s="989"/>
      <c r="O1559" s="830">
        <f>MIN($M1559,O1560+O1564)</f>
        <v>0</v>
      </c>
      <c r="P1559" s="830">
        <f>MIN($M1559,P1560+P1564)</f>
        <v>0</v>
      </c>
      <c r="Q1559" s="938" t="s">
        <v>464</v>
      </c>
      <c r="U1559" s="1025">
        <f>'Part IX A-Scoring Criteria'!O241</f>
        <v>0</v>
      </c>
    </row>
    <row r="1560" spans="1:21" ht="15">
      <c r="A1560" s="1079" t="s">
        <v>2119</v>
      </c>
      <c r="B1560" s="996" t="s">
        <v>3339</v>
      </c>
      <c r="C1560" s="1080"/>
      <c r="D1560" s="996"/>
      <c r="E1560" s="1601" t="str">
        <f>'Part IX A-Scoring Criteria'!E242</f>
        <v>&lt;&lt;Select applicable status&gt;&gt;</v>
      </c>
      <c r="F1560" s="1601"/>
      <c r="G1560" s="1601"/>
      <c r="H1560" s="1601"/>
      <c r="I1560" s="1080"/>
      <c r="J1560" s="996" t="s">
        <v>3343</v>
      </c>
      <c r="K1560" s="1080"/>
      <c r="L1560" s="1081">
        <f>'Part III-Sources of Funds'!$H$42</f>
        <v>0</v>
      </c>
      <c r="M1560" s="1050">
        <v>2</v>
      </c>
      <c r="N1560" s="1008" t="s">
        <v>2119</v>
      </c>
      <c r="O1560" s="1052">
        <f>'Part IX A-Scoring Criteria'!O242</f>
        <v>0</v>
      </c>
      <c r="P1560" s="938"/>
      <c r="Q1560" s="857" t="s">
        <v>2948</v>
      </c>
    </row>
    <row r="1561" spans="1:21" ht="15">
      <c r="A1561" s="1052"/>
      <c r="B1561" s="1082"/>
      <c r="C1561" s="1080"/>
      <c r="D1561" s="1080"/>
      <c r="E1561" s="1080"/>
      <c r="F1561" s="1080"/>
      <c r="G1561" s="1080"/>
      <c r="H1561" s="1080"/>
      <c r="I1561" s="1080"/>
      <c r="J1561" s="996" t="s">
        <v>3342</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3340</v>
      </c>
      <c r="K1562" s="1080"/>
      <c r="L1562" s="1081">
        <f>'Part VI-Revenues &amp; Expenses'!$M$62</f>
        <v>132</v>
      </c>
      <c r="M1562" s="1050"/>
      <c r="N1562" s="1050"/>
      <c r="O1562" s="1050"/>
      <c r="P1562" s="1050"/>
      <c r="Q1562" s="857"/>
    </row>
    <row r="1563" spans="1:21" ht="15">
      <c r="A1563" s="983" t="s">
        <v>1441</v>
      </c>
      <c r="B1563" s="1082"/>
      <c r="C1563" s="1080"/>
      <c r="D1563" s="1080"/>
      <c r="E1563" s="1080"/>
      <c r="F1563" s="1009"/>
      <c r="G1563" s="940"/>
      <c r="H1563" s="985"/>
      <c r="I1563" s="940"/>
      <c r="J1563" s="988" t="s">
        <v>3341</v>
      </c>
      <c r="K1563" s="1080"/>
      <c r="L1563" s="940">
        <f>L1561/L1562</f>
        <v>0</v>
      </c>
      <c r="M1563" s="1050"/>
      <c r="N1563" s="1050"/>
      <c r="O1563" s="1050"/>
      <c r="P1563" s="1050"/>
      <c r="Q1563" s="857"/>
    </row>
    <row r="1564" spans="1:21">
      <c r="A1564" s="1079" t="s">
        <v>2122</v>
      </c>
      <c r="B1564" s="1583" t="s">
        <v>3015</v>
      </c>
      <c r="C1564" s="1583"/>
      <c r="D1564" s="1583"/>
      <c r="E1564" s="1583"/>
      <c r="F1564" s="1583"/>
      <c r="G1564" s="1583"/>
      <c r="H1564" s="1583"/>
      <c r="I1564" s="1583"/>
      <c r="J1564" s="1583"/>
      <c r="K1564" s="1583"/>
      <c r="L1564" s="1583"/>
      <c r="M1564" s="1050">
        <v>1</v>
      </c>
      <c r="N1564" s="1008" t="s">
        <v>2122</v>
      </c>
      <c r="O1564" s="1052">
        <f>'Part IX A-Scoring Criteria'!O246</f>
        <v>0</v>
      </c>
      <c r="P1564" s="938"/>
      <c r="Q1564" s="857" t="s">
        <v>2948</v>
      </c>
    </row>
    <row r="1565" spans="1:21" ht="15">
      <c r="A1565" s="582"/>
      <c r="B1565" s="991" t="s">
        <v>270</v>
      </c>
      <c r="C1565" s="582"/>
      <c r="D1565" s="586"/>
      <c r="E1565" s="586"/>
      <c r="F1565" s="586"/>
      <c r="G1565" s="586"/>
      <c r="H1565" s="583"/>
      <c r="I1565" s="583"/>
      <c r="J1565" s="583"/>
      <c r="K1565" s="583"/>
      <c r="L1565" s="1029"/>
      <c r="M1565" s="830"/>
      <c r="N1565" s="834"/>
      <c r="O1565" s="1025"/>
      <c r="P1565" s="836"/>
      <c r="Q1565" s="1029"/>
    </row>
    <row r="1566" spans="1:21" ht="15.75">
      <c r="A1566" s="1583" t="str">
        <f>'Part IX A-Scoring Criteria'!A248</f>
        <v>N/A</v>
      </c>
      <c r="B1566" s="1583"/>
      <c r="C1566" s="1583"/>
      <c r="D1566" s="1583"/>
      <c r="E1566" s="1583"/>
      <c r="F1566" s="1583"/>
      <c r="G1566" s="1583"/>
      <c r="H1566" s="1583"/>
      <c r="I1566" s="1583"/>
      <c r="J1566" s="1583"/>
      <c r="K1566" s="1583"/>
      <c r="L1566" s="1583"/>
      <c r="M1566" s="1583"/>
      <c r="N1566" s="1583"/>
      <c r="O1566" s="1583"/>
      <c r="P1566" s="1583"/>
      <c r="Q1566" s="1030" t="s">
        <v>1333</v>
      </c>
    </row>
    <row r="1567" spans="1:21" ht="15">
      <c r="A1567" s="1029"/>
      <c r="B1567" s="992" t="s">
        <v>1997</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1333</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1792</v>
      </c>
      <c r="B1570" s="1027" t="s">
        <v>2825</v>
      </c>
      <c r="C1570" s="1029"/>
      <c r="D1570" s="1043"/>
      <c r="E1570" s="1043"/>
      <c r="F1570" s="1029"/>
      <c r="G1570" s="1029"/>
      <c r="H1570" s="1029"/>
      <c r="I1570" s="1037" t="s">
        <v>3699</v>
      </c>
      <c r="J1570" s="1043"/>
      <c r="K1570" s="1043"/>
      <c r="L1570" s="1029"/>
      <c r="M1570" s="1066">
        <v>5</v>
      </c>
      <c r="N1570" s="1029"/>
      <c r="O1570" s="1029"/>
      <c r="P1570" s="938"/>
      <c r="Q1570" s="938" t="s">
        <v>464</v>
      </c>
      <c r="U1570" s="1025">
        <f>'Part IX A-Scoring Criteria'!O252</f>
        <v>0</v>
      </c>
    </row>
    <row r="1571" spans="1:21" ht="15">
      <c r="A1571" s="1063"/>
      <c r="B1571" s="1029"/>
      <c r="C1571" s="1029"/>
      <c r="D1571" s="1576" t="s">
        <v>3380</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3700</v>
      </c>
      <c r="J1572" s="1043"/>
      <c r="K1572" s="1043"/>
      <c r="L1572" s="1029"/>
      <c r="M1572" s="830">
        <v>18</v>
      </c>
      <c r="N1572" s="830"/>
      <c r="O1572" s="938">
        <f>MIN($M1572,(O1573+O1576+O1579+O1581+O1584+O1587))</f>
        <v>7</v>
      </c>
      <c r="P1572" s="938">
        <f>MIN($M1572,(P1573+P1576+P1579+P1581+P1584+P1587))</f>
        <v>0</v>
      </c>
      <c r="Q1572" s="938"/>
    </row>
    <row r="1573" spans="1:21">
      <c r="A1573" s="1063"/>
      <c r="B1573" s="997" t="s">
        <v>2119</v>
      </c>
      <c r="C1573" s="1589" t="s">
        <v>3344</v>
      </c>
      <c r="D1573" s="1589"/>
      <c r="E1573" s="1589"/>
      <c r="F1573" s="1589"/>
      <c r="G1573" s="1589"/>
      <c r="H1573" s="1589"/>
      <c r="I1573" s="1589"/>
      <c r="J1573" s="1589"/>
      <c r="K1573" s="1589"/>
      <c r="L1573" s="1589"/>
      <c r="M1573" s="1050">
        <v>6</v>
      </c>
      <c r="N1573" s="1043"/>
      <c r="O1573" s="1588">
        <f>'Part IX A-Scoring Criteria'!O255</f>
        <v>0</v>
      </c>
      <c r="P1573" s="1588"/>
      <c r="Q1573" s="857"/>
    </row>
    <row r="1574" spans="1:21">
      <c r="A1574" s="983" t="s">
        <v>1441</v>
      </c>
      <c r="B1574" s="1006" t="s">
        <v>2122</v>
      </c>
      <c r="C1574" s="1587" t="s">
        <v>3596</v>
      </c>
      <c r="D1574" s="1587"/>
      <c r="E1574" s="1587"/>
      <c r="F1574" s="1587"/>
      <c r="G1574" s="1587"/>
      <c r="H1574" s="1587"/>
      <c r="I1574" s="1587"/>
      <c r="J1574" s="1587"/>
      <c r="K1574" s="1587"/>
      <c r="L1574" s="1587"/>
      <c r="M1574" s="1050">
        <v>5</v>
      </c>
      <c r="N1574" s="1083"/>
      <c r="O1574" s="1588"/>
      <c r="P1574" s="1588"/>
      <c r="Q1574" s="857" t="s">
        <v>2948</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800</v>
      </c>
      <c r="C1576" s="1587" t="s">
        <v>3346</v>
      </c>
      <c r="D1576" s="1587"/>
      <c r="E1576" s="1587"/>
      <c r="F1576" s="1587"/>
      <c r="G1576" s="1587"/>
      <c r="H1576" s="1587"/>
      <c r="I1576" s="1587"/>
      <c r="J1576" s="1587"/>
      <c r="K1576" s="1587"/>
      <c r="L1576" s="1587"/>
      <c r="M1576" s="1050">
        <v>4</v>
      </c>
      <c r="N1576" s="1083"/>
      <c r="O1576" s="1588">
        <f>'Part IX A-Scoring Criteria'!O258</f>
        <v>4</v>
      </c>
      <c r="P1576" s="1588"/>
      <c r="Q1576" s="857" t="s">
        <v>2948</v>
      </c>
    </row>
    <row r="1577" spans="1:21">
      <c r="A1577" s="983" t="s">
        <v>1441</v>
      </c>
      <c r="B1577" s="1006"/>
      <c r="C1577" s="1587" t="s">
        <v>3345</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2254</v>
      </c>
      <c r="C1579" s="1587" t="s">
        <v>3347</v>
      </c>
      <c r="D1579" s="1587"/>
      <c r="E1579" s="1587"/>
      <c r="F1579" s="1587"/>
      <c r="G1579" s="1587"/>
      <c r="H1579" s="1587"/>
      <c r="I1579" s="1587"/>
      <c r="J1579" s="1587"/>
      <c r="K1579" s="1587"/>
      <c r="L1579" s="1587"/>
      <c r="M1579" s="1050">
        <v>1</v>
      </c>
      <c r="N1579" s="1083"/>
      <c r="O1579" s="1052">
        <f>'Part IX A-Scoring Criteria'!O261</f>
        <v>1</v>
      </c>
      <c r="P1579" s="1052"/>
      <c r="Q1579" s="857" t="s">
        <v>2948</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1858</v>
      </c>
      <c r="C1581" s="1587" t="s">
        <v>3350</v>
      </c>
      <c r="D1581" s="1587"/>
      <c r="E1581" s="1587"/>
      <c r="F1581" s="1587"/>
      <c r="G1581" s="1587"/>
      <c r="H1581" s="1587"/>
      <c r="I1581" s="1587"/>
      <c r="J1581" s="1587"/>
      <c r="K1581" s="1587"/>
      <c r="L1581" s="1587"/>
      <c r="M1581" s="1050">
        <v>2</v>
      </c>
      <c r="N1581" s="1043"/>
      <c r="O1581" s="1588">
        <f>'Part IX A-Scoring Criteria'!O263</f>
        <v>0</v>
      </c>
      <c r="P1581" s="1588"/>
      <c r="Q1581" s="857" t="s">
        <v>2948</v>
      </c>
    </row>
    <row r="1582" spans="1:21">
      <c r="A1582" s="983" t="s">
        <v>1441</v>
      </c>
      <c r="B1582" s="997"/>
      <c r="C1582" s="1589" t="s">
        <v>3348</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1859</v>
      </c>
      <c r="C1584" s="1587" t="s">
        <v>3349</v>
      </c>
      <c r="D1584" s="1587"/>
      <c r="E1584" s="1587"/>
      <c r="F1584" s="1587"/>
      <c r="G1584" s="1587"/>
      <c r="H1584" s="1587"/>
      <c r="I1584" s="1587"/>
      <c r="J1584" s="1587"/>
      <c r="K1584" s="1587"/>
      <c r="L1584" s="1587"/>
      <c r="M1584" s="1050">
        <v>3</v>
      </c>
      <c r="N1584" s="1083"/>
      <c r="O1584" s="1588">
        <f>'Part IX A-Scoring Criteria'!O266</f>
        <v>0</v>
      </c>
      <c r="P1584" s="1588"/>
      <c r="Q1584" s="857" t="s">
        <v>2948</v>
      </c>
    </row>
    <row r="1585" spans="1:21">
      <c r="A1585" s="983" t="s">
        <v>1441</v>
      </c>
      <c r="B1585" s="1006"/>
      <c r="C1585" s="1587" t="s">
        <v>3351</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2082</v>
      </c>
      <c r="C1587" s="1589" t="s">
        <v>3352</v>
      </c>
      <c r="D1587" s="1589"/>
      <c r="E1587" s="1589"/>
      <c r="F1587" s="1589"/>
      <c r="G1587" s="1589"/>
      <c r="H1587" s="1589"/>
      <c r="I1587" s="1589"/>
      <c r="J1587" s="1589"/>
      <c r="K1587" s="1589"/>
      <c r="L1587" s="1589"/>
      <c r="M1587" s="832">
        <v>2</v>
      </c>
      <c r="N1587" s="1043"/>
      <c r="O1587" s="1052">
        <f>'Part IX A-Scoring Criteria'!O269</f>
        <v>2</v>
      </c>
      <c r="P1587" s="1052"/>
      <c r="Q1587" s="857" t="s">
        <v>2948</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270</v>
      </c>
      <c r="C1589" s="582"/>
      <c r="D1589" s="586"/>
      <c r="E1589" s="586"/>
      <c r="F1589" s="586"/>
      <c r="G1589" s="586"/>
      <c r="H1589" s="583"/>
      <c r="I1589" s="583"/>
      <c r="J1589" s="583"/>
      <c r="K1589" s="583"/>
      <c r="L1589" s="1029"/>
      <c r="M1589" s="830"/>
      <c r="N1589" s="834"/>
      <c r="O1589" s="1025"/>
      <c r="P1589" s="836"/>
      <c r="Q1589" s="1029"/>
    </row>
    <row r="1590" spans="1:21" ht="15.75">
      <c r="A1590" s="1583" t="str">
        <f>'Part IX A-Scoring Criteria'!A272</f>
        <v>Macon Gardens has been designated by HUD as High Priority.  The Letter is located at Binder Tab 01 Feasibility and Electronic Folder 01 Feasibility.</v>
      </c>
      <c r="B1590" s="1583"/>
      <c r="C1590" s="1583"/>
      <c r="D1590" s="1583"/>
      <c r="E1590" s="1583"/>
      <c r="F1590" s="1583"/>
      <c r="G1590" s="1583"/>
      <c r="H1590" s="1583"/>
      <c r="I1590" s="1583"/>
      <c r="J1590" s="1583"/>
      <c r="K1590" s="1583"/>
      <c r="L1590" s="1583"/>
      <c r="M1590" s="1583"/>
      <c r="N1590" s="1583"/>
      <c r="O1590" s="1583"/>
      <c r="P1590" s="1583"/>
      <c r="Q1590" s="1030" t="s">
        <v>1333</v>
      </c>
    </row>
    <row r="1591" spans="1:21" ht="15">
      <c r="A1591" s="582"/>
      <c r="B1591" s="992" t="s">
        <v>1997</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1333</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3353</v>
      </c>
      <c r="B1594" s="1027" t="s">
        <v>3354</v>
      </c>
      <c r="C1594" s="1029"/>
      <c r="D1594" s="1043"/>
      <c r="E1594" s="1043"/>
      <c r="F1594" s="1043"/>
      <c r="G1594" s="1043"/>
      <c r="H1594" s="1043"/>
      <c r="I1594" s="1043"/>
      <c r="J1594" s="1043"/>
      <c r="K1594" s="1043"/>
      <c r="L1594" s="1043"/>
      <c r="M1594" s="830">
        <v>1</v>
      </c>
      <c r="N1594" s="1044"/>
      <c r="O1594" s="1052">
        <f>'Part IX A-Scoring Criteria'!O276</f>
        <v>0</v>
      </c>
      <c r="P1594" s="938"/>
      <c r="Q1594" s="938" t="s">
        <v>464</v>
      </c>
      <c r="U1594" s="1025">
        <f>'Part IX A-Scoring Criteria'!O276</f>
        <v>0</v>
      </c>
    </row>
    <row r="1595" spans="1:21" ht="15" customHeight="1">
      <c r="A1595" s="997"/>
      <c r="B1595" s="1592" t="s">
        <v>3599</v>
      </c>
      <c r="C1595" s="1592"/>
      <c r="D1595" s="1592"/>
      <c r="E1595" s="1592"/>
      <c r="F1595" s="1592"/>
      <c r="G1595" s="1592"/>
      <c r="H1595" s="1592"/>
      <c r="I1595" s="1592"/>
      <c r="J1595" s="1592"/>
      <c r="K1595" s="1592"/>
      <c r="L1595" s="1592"/>
      <c r="M1595" s="1592"/>
      <c r="N1595" s="1592"/>
      <c r="O1595" s="1010" t="str">
        <f>'Part IX A-Scoring Criteria'!O277</f>
        <v>No</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3365</v>
      </c>
      <c r="C1598" s="951"/>
      <c r="D1598" s="1580">
        <f>'Part IX A-Scoring Criteria'!D280</f>
        <v>0</v>
      </c>
      <c r="E1598" s="1580"/>
      <c r="F1598" s="1580"/>
      <c r="G1598" s="1580"/>
      <c r="H1598" s="985" t="s">
        <v>3367</v>
      </c>
      <c r="I1598" s="1087">
        <f>'Part IX A-Scoring Criteria'!I280</f>
        <v>0</v>
      </c>
      <c r="J1598" s="1087" t="s">
        <v>3366</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3405</v>
      </c>
      <c r="C1600" s="1590"/>
      <c r="D1600" s="1590"/>
      <c r="E1600" s="1591" t="s">
        <v>3637</v>
      </c>
      <c r="F1600" s="1591"/>
      <c r="G1600" s="583"/>
      <c r="H1600" s="583"/>
      <c r="I1600" s="1577" t="s">
        <v>3638</v>
      </c>
      <c r="J1600" s="1577"/>
      <c r="K1600" s="583"/>
      <c r="L1600" s="583"/>
      <c r="M1600" s="1581" t="s">
        <v>3406</v>
      </c>
      <c r="N1600" s="1581"/>
      <c r="O1600" s="1581"/>
      <c r="P1600" s="1581"/>
      <c r="Q1600" s="565"/>
    </row>
    <row r="1601" spans="1:17">
      <c r="A1601" s="990"/>
      <c r="B1601" s="583" t="s">
        <v>3403</v>
      </c>
      <c r="C1601" s="857"/>
      <c r="D1601" s="857"/>
      <c r="E1601" s="1014" t="s">
        <v>3359</v>
      </c>
      <c r="F1601" s="1014" t="s">
        <v>3360</v>
      </c>
      <c r="G1601" s="985" t="s">
        <v>3402</v>
      </c>
      <c r="H1601" s="583"/>
      <c r="I1601" s="1014" t="s">
        <v>3359</v>
      </c>
      <c r="J1601" s="1014" t="s">
        <v>3360</v>
      </c>
      <c r="K1601" s="985" t="s">
        <v>3402</v>
      </c>
      <c r="L1601" s="583"/>
      <c r="M1601" s="1576" t="s">
        <v>3403</v>
      </c>
      <c r="N1601" s="1576"/>
      <c r="O1601" s="583" t="s">
        <v>3404</v>
      </c>
      <c r="P1601" s="583" t="s">
        <v>3407</v>
      </c>
      <c r="Q1601" s="565"/>
    </row>
    <row r="1602" spans="1:17">
      <c r="A1602" s="990"/>
      <c r="B1602" s="999" t="s">
        <v>3355</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78" t="str">
        <f>IF(AND(G1602=0,K1602=0),"n/a",IF(G1602&gt;K1602,"Yes", "No"))</f>
        <v>n/a</v>
      </c>
      <c r="N1602" s="1578"/>
      <c r="O1602" s="1576" t="str">
        <f>IF(AND(M1602="n/a",M1603="n/a",M1604="n/a",M1605="n/a",M1606="n/a"),"n/a",IF(AND(M1602="Yes",M1603="Yes",M1604="Yes",M1605="Yes",M1606="Yes"),"Yes",IF(OR(M1602="No",M1603="No",M1604="No",M1605="No",M1606="No"), "No", "No")))</f>
        <v>n/a</v>
      </c>
      <c r="P1602" s="565"/>
      <c r="Q1602" s="565"/>
    </row>
    <row r="1603" spans="1:17">
      <c r="A1603" s="990"/>
      <c r="B1603" s="999" t="s">
        <v>3361</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78" t="str">
        <f>IF(AND(G1603=0,K1603=0),"n/a",IF(G1603&gt;K1603,"Yes", "No"))</f>
        <v>n/a</v>
      </c>
      <c r="N1603" s="1578"/>
      <c r="O1603" s="1576"/>
      <c r="P1603" s="565"/>
      <c r="Q1603" s="565"/>
    </row>
    <row r="1604" spans="1:17">
      <c r="A1604" s="990"/>
      <c r="B1604" s="999" t="s">
        <v>3356</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78" t="str">
        <f>IF(AND(G1604=0,K1604=0),"n/a",IF(G1604&gt;K1604,"Yes", "No"))</f>
        <v>n/a</v>
      </c>
      <c r="N1604" s="1578"/>
      <c r="O1604" s="1576"/>
      <c r="P1604" s="565"/>
      <c r="Q1604" s="565"/>
    </row>
    <row r="1605" spans="1:17">
      <c r="A1605" s="990"/>
      <c r="B1605" s="999" t="s">
        <v>3357</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78" t="str">
        <f>IF(AND(G1605=0,K1605=0),"n/a",IF(G1605&gt;K1605,"Yes", "No"))</f>
        <v>n/a</v>
      </c>
      <c r="N1605" s="1578"/>
      <c r="O1605" s="1576"/>
      <c r="P1605" s="565"/>
      <c r="Q1605" s="565"/>
    </row>
    <row r="1606" spans="1:17">
      <c r="A1606" s="990"/>
      <c r="B1606" s="999" t="s">
        <v>3358</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78" t="str">
        <f>IF(AND(G1606=0,K1606=0),"n/a",IF(G1606&gt;K1606,"Yes", "No"))</f>
        <v>n/a</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3355</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3361</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3356</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3357</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3358</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3639</v>
      </c>
      <c r="F1614" s="1577"/>
      <c r="G1614" s="583"/>
      <c r="H1614" s="583"/>
      <c r="I1614" s="1577" t="s">
        <v>3638</v>
      </c>
      <c r="J1614" s="1577"/>
      <c r="K1614" s="583"/>
      <c r="L1614" s="583"/>
      <c r="M1614" s="583"/>
      <c r="N1614" s="583"/>
      <c r="O1614" s="583"/>
      <c r="P1614" s="953"/>
      <c r="Q1614" s="565"/>
    </row>
    <row r="1615" spans="1:17" ht="15">
      <c r="A1615" s="997"/>
      <c r="B1615" s="999" t="s">
        <v>3355</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78" t="str">
        <f>IF(AND(G1615=0,K1615=0),"n/a",IF(G1615&gt;K1615,"Yes", "No"))</f>
        <v>n/a</v>
      </c>
      <c r="N1615" s="1578"/>
      <c r="O1615" s="1576" t="str">
        <f>IF(AND(M1615="n/a",M1616="n/a",M1617="n/a",M1618="n/a",M1619="n/a"),"n/a",IF(AND(M1615="Yes",M1616="Yes",M1617="Yes",M1618="Yes",M1619="Yes"),"Yes",IF(OR(M1615="No",M1616="No",M1617="No",M1618="No",M1619="No"), "No", "No")))</f>
        <v>n/a</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3361</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78" t="str">
        <f>IF(AND(G1616=0,K1616=0),"n/a",IF(G1616&gt;K1616,"Yes", "No"))</f>
        <v>n/a</v>
      </c>
      <c r="N1616" s="1578"/>
      <c r="O1616" s="1576"/>
      <c r="P1616" s="1579"/>
      <c r="Q1616" s="565"/>
    </row>
    <row r="1617" spans="1:17">
      <c r="A1617" s="990"/>
      <c r="B1617" s="999" t="s">
        <v>3356</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78" t="str">
        <f>IF(AND(G1617=0,K1617=0),"n/a",IF(G1617&gt;K1617,"Yes", "No"))</f>
        <v>n/a</v>
      </c>
      <c r="N1617" s="1578"/>
      <c r="O1617" s="1576"/>
      <c r="P1617" s="1579"/>
      <c r="Q1617" s="565"/>
    </row>
    <row r="1618" spans="1:17">
      <c r="A1618" s="990"/>
      <c r="B1618" s="999" t="s">
        <v>3357</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78" t="str">
        <f>IF(AND(G1618=0,K1618=0),"n/a",IF(G1618&gt;K1618,"Yes", "No"))</f>
        <v>n/a</v>
      </c>
      <c r="N1618" s="1578"/>
      <c r="O1618" s="1576"/>
      <c r="P1618" s="1579"/>
      <c r="Q1618" s="565"/>
    </row>
    <row r="1619" spans="1:17">
      <c r="A1619" s="990"/>
      <c r="B1619" s="999" t="s">
        <v>3358</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78" t="str">
        <f>IF(AND(G1619=0,K1619=0),"n/a",IF(G1619&gt;K1619,"Yes", "No"))</f>
        <v>n/a</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3355</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3361</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3356</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3357</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3358</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3640</v>
      </c>
      <c r="F1627" s="1577"/>
      <c r="G1627" s="583"/>
      <c r="H1627" s="583"/>
      <c r="I1627" s="1577" t="s">
        <v>3638</v>
      </c>
      <c r="J1627" s="1577"/>
      <c r="K1627" s="583"/>
      <c r="L1627" s="583"/>
      <c r="M1627" s="583"/>
      <c r="N1627" s="583"/>
      <c r="O1627" s="583"/>
      <c r="P1627" s="953"/>
      <c r="Q1627" s="565"/>
    </row>
    <row r="1628" spans="1:17">
      <c r="A1628" s="990"/>
      <c r="B1628" s="999" t="s">
        <v>3355</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78" t="str">
        <f>IF(AND(G1628=0,K1628=0),"n/a",IF(G1628&gt;K1628,"Yes", "No"))</f>
        <v>n/a</v>
      </c>
      <c r="N1628" s="1578"/>
      <c r="O1628" s="1576" t="str">
        <f>IF(AND(M1628="n/a",M1629="n/a",M1630="n/a",M1631="n/a",M1632="n/a"),"n/a",IF(AND(M1628="Yes",M1629="Yes",M1630="Yes",M1631="Yes",M1632="Yes"),"Yes",IF(OR(M1628="No",M1629="No",M1630="No",M1631="No",M1632="No"), "No", "No")))</f>
        <v>n/a</v>
      </c>
      <c r="P1628" s="953"/>
      <c r="Q1628" s="565"/>
    </row>
    <row r="1629" spans="1:17">
      <c r="A1629" s="990"/>
      <c r="B1629" s="999" t="s">
        <v>3361</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78" t="str">
        <f>IF(AND(G1629=0,K1629=0),"n/a",IF(G1629&gt;K1629,"Yes", "No"))</f>
        <v>n/a</v>
      </c>
      <c r="N1629" s="1578"/>
      <c r="O1629" s="1576"/>
      <c r="P1629" s="953"/>
      <c r="Q1629" s="565"/>
    </row>
    <row r="1630" spans="1:17">
      <c r="A1630" s="990"/>
      <c r="B1630" s="999" t="s">
        <v>3356</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78" t="str">
        <f>IF(AND(G1630=0,K1630=0),"n/a",IF(G1630&gt;K1630,"Yes", "No"))</f>
        <v>n/a</v>
      </c>
      <c r="N1630" s="1578"/>
      <c r="O1630" s="1576"/>
      <c r="P1630" s="953"/>
      <c r="Q1630" s="565"/>
    </row>
    <row r="1631" spans="1:17" ht="15">
      <c r="A1631" s="997"/>
      <c r="B1631" s="999" t="s">
        <v>3357</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78" t="str">
        <f>IF(AND(G1631=0,K1631=0),"n/a",IF(G1631&gt;K1631,"Yes", "No"))</f>
        <v>n/a</v>
      </c>
      <c r="N1631" s="1578"/>
      <c r="O1631" s="1576"/>
      <c r="P1631" s="953"/>
      <c r="Q1631" s="1029"/>
    </row>
    <row r="1632" spans="1:17">
      <c r="A1632" s="990"/>
      <c r="B1632" s="999" t="s">
        <v>3358</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78" t="str">
        <f>IF(AND(G1632=0,K1632=0),"n/a",IF(G1632&gt;K1632,"Yes", "No"))</f>
        <v>n/a</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3355</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3361</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3356</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3357</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3358</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270</v>
      </c>
      <c r="C1639" s="582"/>
      <c r="D1639" s="586"/>
      <c r="E1639" s="586"/>
      <c r="F1639" s="586"/>
      <c r="G1639" s="586"/>
      <c r="H1639" s="583"/>
      <c r="I1639" s="583"/>
      <c r="J1639" s="583"/>
      <c r="K1639" s="583"/>
      <c r="L1639" s="1029"/>
      <c r="M1639" s="830"/>
      <c r="N1639" s="834"/>
      <c r="O1639" s="1025"/>
      <c r="P1639" s="836"/>
      <c r="Q1639" s="1029"/>
    </row>
    <row r="1640" spans="1:21" ht="15.75">
      <c r="A1640" s="1583" t="str">
        <f>'Part IX A-Scoring Criteria'!A322</f>
        <v>N/A</v>
      </c>
      <c r="B1640" s="1583"/>
      <c r="C1640" s="1583"/>
      <c r="D1640" s="1583"/>
      <c r="E1640" s="1583"/>
      <c r="F1640" s="1583"/>
      <c r="G1640" s="1583"/>
      <c r="H1640" s="1583"/>
      <c r="I1640" s="1583"/>
      <c r="J1640" s="1583"/>
      <c r="K1640" s="1583"/>
      <c r="L1640" s="1583"/>
      <c r="M1640" s="1583"/>
      <c r="N1640" s="1583"/>
      <c r="O1640" s="1583"/>
      <c r="P1640" s="1583"/>
      <c r="Q1640" s="1030" t="s">
        <v>1333</v>
      </c>
    </row>
    <row r="1641" spans="1:21" ht="15">
      <c r="A1641" s="582"/>
      <c r="B1641" s="992" t="s">
        <v>1997</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1333</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3370</v>
      </c>
      <c r="B1644" s="1027" t="s">
        <v>3369</v>
      </c>
      <c r="C1644" s="1029"/>
      <c r="D1644" s="1043"/>
      <c r="E1644" s="1043"/>
      <c r="F1644" s="1043"/>
      <c r="G1644" s="1043"/>
      <c r="H1644" s="1043"/>
      <c r="I1644" s="1043"/>
      <c r="J1644" s="1043"/>
      <c r="K1644" s="1043"/>
      <c r="L1644" s="1029"/>
      <c r="M1644" s="830">
        <v>2</v>
      </c>
      <c r="N1644" s="1044"/>
      <c r="O1644" s="1052">
        <f>'Part IX A-Scoring Criteria'!O326</f>
        <v>0</v>
      </c>
      <c r="P1644" s="938"/>
      <c r="Q1644" s="938" t="s">
        <v>464</v>
      </c>
      <c r="U1644" s="1025">
        <f>'Part IX A-Scoring Criteria'!O326</f>
        <v>0</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3375</v>
      </c>
      <c r="J1646" s="565"/>
      <c r="K1646" s="1584" t="str">
        <f>'Part IX A-Scoring Criteria'!K328</f>
        <v>Macon</v>
      </c>
      <c r="L1646" s="1584"/>
      <c r="M1646" s="1584"/>
      <c r="N1646" s="565"/>
      <c r="O1646" s="565"/>
      <c r="P1646" s="565"/>
      <c r="Q1646" s="565"/>
    </row>
    <row r="1647" spans="1:21">
      <c r="A1647" s="997" t="s">
        <v>2119</v>
      </c>
      <c r="B1647" s="565"/>
      <c r="C1647" s="998" t="s">
        <v>3379</v>
      </c>
      <c r="D1647" s="565"/>
      <c r="E1647" s="565"/>
      <c r="F1647" s="565"/>
      <c r="G1647" s="1125">
        <f>'Part IX A-Scoring Criteria'!G329</f>
        <v>0</v>
      </c>
      <c r="H1647" s="565"/>
      <c r="I1647" s="1584" t="s">
        <v>3376</v>
      </c>
      <c r="J1647" s="1584"/>
      <c r="K1647" s="1584" t="str">
        <f>'Part IX A-Scoring Criteria'!K329</f>
        <v>Bibb</v>
      </c>
      <c r="L1647" s="1584"/>
      <c r="M1647" s="1584"/>
      <c r="N1647" s="565"/>
      <c r="O1647" s="565"/>
      <c r="P1647" s="565"/>
      <c r="Q1647" s="565"/>
    </row>
    <row r="1648" spans="1:21">
      <c r="A1648" s="997"/>
      <c r="B1648" s="565"/>
      <c r="C1648" s="998"/>
      <c r="D1648" s="565"/>
      <c r="E1648" s="565"/>
      <c r="F1648" s="565"/>
      <c r="G1648" s="565"/>
      <c r="H1648" s="565"/>
      <c r="I1648" s="999" t="s">
        <v>3377</v>
      </c>
      <c r="J1648" s="565"/>
      <c r="K1648" s="1584" t="str">
        <f>'Part IX A-Scoring Criteria'!K330</f>
        <v>Macon</v>
      </c>
      <c r="L1648" s="1584"/>
      <c r="M1648" s="1584"/>
      <c r="N1648" s="565"/>
      <c r="O1648" s="565"/>
      <c r="P1648" s="565"/>
      <c r="Q1648" s="565"/>
    </row>
    <row r="1649" spans="1:21">
      <c r="A1649" s="1006" t="s">
        <v>2122</v>
      </c>
      <c r="B1649" s="999" t="s">
        <v>3374</v>
      </c>
      <c r="C1649" s="999"/>
      <c r="D1649" s="998"/>
      <c r="E1649" s="998"/>
      <c r="F1649" s="565"/>
      <c r="G1649" s="1122">
        <f>'Part IX A-Scoring Criteria'!G331</f>
        <v>0</v>
      </c>
      <c r="H1649" s="565"/>
      <c r="I1649" s="999" t="s">
        <v>3590</v>
      </c>
      <c r="J1649" s="565"/>
      <c r="K1649" s="1584" t="str">
        <f>'Part IX A-Scoring Criteria'!K331</f>
        <v>MSA</v>
      </c>
      <c r="L1649" s="1584"/>
      <c r="M1649" s="1584"/>
      <c r="N1649" s="565"/>
      <c r="O1649" s="565"/>
      <c r="P1649" s="565"/>
      <c r="Q1649" s="565"/>
    </row>
    <row r="1650" spans="1:21">
      <c r="A1650" s="990"/>
      <c r="B1650" s="999" t="s">
        <v>3373</v>
      </c>
      <c r="C1650" s="999"/>
      <c r="D1650" s="998"/>
      <c r="E1650" s="998"/>
      <c r="F1650" s="990"/>
      <c r="G1650" s="990"/>
      <c r="H1650" s="565"/>
      <c r="I1650" s="565" t="s">
        <v>3591</v>
      </c>
      <c r="J1650" s="565"/>
      <c r="K1650" s="1584" t="str">
        <f>'Part IX A-Scoring Criteria'!K332</f>
        <v>Urban</v>
      </c>
      <c r="L1650" s="1584"/>
      <c r="M1650" s="1584"/>
      <c r="N1650" s="565"/>
      <c r="O1650" s="565"/>
      <c r="P1650" s="565"/>
      <c r="Q1650" s="565"/>
    </row>
    <row r="1651" spans="1:21">
      <c r="A1651" s="990"/>
      <c r="B1651" s="999"/>
      <c r="C1651" s="999"/>
      <c r="D1651" s="998"/>
      <c r="E1651" s="998"/>
      <c r="F1651" s="990"/>
      <c r="G1651" s="990"/>
      <c r="H1651" s="565"/>
      <c r="I1651" s="565" t="s">
        <v>3589</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3371</v>
      </c>
      <c r="D1653" s="1585" t="s">
        <v>3372</v>
      </c>
      <c r="E1653" s="1585"/>
      <c r="F1653" s="1585"/>
      <c r="G1653" s="1585"/>
      <c r="H1653" s="1585"/>
      <c r="I1653" s="1585"/>
      <c r="J1653" s="1585"/>
      <c r="K1653" s="1585"/>
      <c r="L1653" s="1126" t="s">
        <v>1711</v>
      </c>
      <c r="M1653" s="1126" t="s">
        <v>2782</v>
      </c>
      <c r="N1653" s="565"/>
      <c r="O1653" s="565"/>
      <c r="P1653" s="565"/>
      <c r="Q1653" s="565"/>
    </row>
    <row r="1654" spans="1:21">
      <c r="A1654" s="990"/>
      <c r="B1654" s="990"/>
      <c r="C1654" s="1126" t="s">
        <v>1283</v>
      </c>
      <c r="D1654" s="1586" t="s">
        <v>3378</v>
      </c>
      <c r="E1654" s="1586"/>
      <c r="F1654" s="1586"/>
      <c r="G1654" s="1586"/>
      <c r="H1654" s="1586"/>
      <c r="I1654" s="1586"/>
      <c r="J1654" s="1586"/>
      <c r="K1654" s="1586"/>
      <c r="L1654" s="1126" t="s">
        <v>2797</v>
      </c>
      <c r="M1654" s="1126" t="s">
        <v>1360</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270</v>
      </c>
      <c r="C1657" s="582"/>
      <c r="D1657" s="586"/>
      <c r="E1657" s="586"/>
      <c r="F1657" s="586"/>
      <c r="G1657" s="586"/>
      <c r="H1657" s="583"/>
      <c r="I1657" s="583"/>
      <c r="J1657" s="583"/>
      <c r="K1657" s="583"/>
      <c r="L1657" s="1029"/>
      <c r="M1657" s="830"/>
      <c r="N1657" s="834"/>
      <c r="O1657" s="1025"/>
      <c r="P1657" s="836"/>
      <c r="Q1657" s="1029"/>
    </row>
    <row r="1658" spans="1:21" ht="15.75">
      <c r="A1658" s="1583" t="str">
        <f>'Part IX A-Scoring Criteria'!A340</f>
        <v>N/A</v>
      </c>
      <c r="B1658" s="1583"/>
      <c r="C1658" s="1583"/>
      <c r="D1658" s="1583"/>
      <c r="E1658" s="1583"/>
      <c r="F1658" s="1583"/>
      <c r="G1658" s="1583"/>
      <c r="H1658" s="1583"/>
      <c r="I1658" s="1583"/>
      <c r="J1658" s="1583"/>
      <c r="K1658" s="1583"/>
      <c r="L1658" s="1583"/>
      <c r="M1658" s="1583"/>
      <c r="N1658" s="1583"/>
      <c r="O1658" s="1583"/>
      <c r="P1658" s="1583"/>
      <c r="Q1658" s="1030" t="s">
        <v>1333</v>
      </c>
    </row>
    <row r="1659" spans="1:21" ht="15">
      <c r="A1659" s="582"/>
      <c r="B1659" s="992" t="s">
        <v>1997</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1333</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3368</v>
      </c>
      <c r="B1662" s="1027" t="s">
        <v>1793</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464</v>
      </c>
      <c r="U1662" s="1025">
        <f>'Part IX A-Scoring Criteria'!O344</f>
        <v>10</v>
      </c>
    </row>
    <row r="1663" spans="1:21">
      <c r="B1663" s="565" t="s">
        <v>2721</v>
      </c>
      <c r="M1663" s="582"/>
      <c r="N1663" s="582"/>
      <c r="O1663" s="1052" t="str">
        <f>'Part IX A-Scoring Criteria'!O345</f>
        <v>Yes</v>
      </c>
      <c r="P1663" s="1010"/>
    </row>
    <row r="1664" spans="1:21">
      <c r="A1664" s="997" t="s">
        <v>2119</v>
      </c>
      <c r="B1664" s="937" t="s">
        <v>1533</v>
      </c>
      <c r="D1664" s="582"/>
      <c r="E1664" s="582"/>
      <c r="F1664" s="582"/>
      <c r="G1664" s="582"/>
      <c r="H1664" s="582"/>
      <c r="I1664" s="582"/>
      <c r="J1664" s="582"/>
      <c r="K1664" s="582"/>
      <c r="L1664" s="582"/>
      <c r="M1664" s="830"/>
      <c r="N1664" s="989" t="s">
        <v>2119</v>
      </c>
      <c r="O1664" s="1052">
        <f>'Part IX A-Scoring Criteria'!O346</f>
        <v>10</v>
      </c>
      <c r="P1664" s="516"/>
      <c r="Q1664" s="857" t="s">
        <v>2948</v>
      </c>
    </row>
    <row r="1665" spans="1:21" ht="15">
      <c r="A1665" s="582"/>
      <c r="B1665" s="991" t="s">
        <v>270</v>
      </c>
      <c r="C1665" s="582"/>
      <c r="D1665" s="586"/>
      <c r="E1665" s="586"/>
      <c r="F1665" s="586"/>
      <c r="G1665" s="586"/>
      <c r="H1665" s="583"/>
      <c r="I1665" s="583"/>
      <c r="J1665" s="583"/>
      <c r="K1665" s="583"/>
      <c r="L1665" s="1029"/>
      <c r="M1665" s="830"/>
      <c r="N1665" s="834"/>
      <c r="O1665" s="1025"/>
      <c r="P1665" s="836"/>
      <c r="Q1665" s="1029"/>
    </row>
    <row r="1666" spans="1:21" ht="15.75">
      <c r="A1666" s="1583" t="str">
        <f>'Part IX A-Scoring Criteria'!A348</f>
        <v>DCA's Pre-Determination Letter dated May 1, 2014 denoting "Qualified with Conditions" is located at Binder Tab 18 Qualification Determination and Electronic Folder 18QualDetCompl.</v>
      </c>
      <c r="B1666" s="1583"/>
      <c r="C1666" s="1583"/>
      <c r="D1666" s="1583"/>
      <c r="E1666" s="1583"/>
      <c r="F1666" s="1583"/>
      <c r="G1666" s="1583"/>
      <c r="H1666" s="1583"/>
      <c r="I1666" s="1583"/>
      <c r="J1666" s="1583"/>
      <c r="K1666" s="1583"/>
      <c r="L1666" s="1583"/>
      <c r="M1666" s="1583"/>
      <c r="N1666" s="1583"/>
      <c r="O1666" s="1583"/>
      <c r="P1666" s="1583"/>
      <c r="Q1666" s="1030" t="s">
        <v>1333</v>
      </c>
    </row>
    <row r="1667" spans="1:21" ht="15">
      <c r="A1667" s="991"/>
      <c r="B1667" s="991" t="s">
        <v>1997</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1333</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447</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48</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48</v>
      </c>
    </row>
    <row r="1671" spans="1:21" ht="15.75">
      <c r="A1671" s="1029"/>
      <c r="B1671" s="1090"/>
      <c r="C1671" s="1029"/>
      <c r="F1671" s="1024"/>
      <c r="G1671" s="1024"/>
      <c r="H1671" s="937"/>
      <c r="I1671" s="937" t="s">
        <v>3603</v>
      </c>
      <c r="J1671" s="956"/>
      <c r="K1671" s="956"/>
      <c r="L1671" s="1029"/>
      <c r="N1671" s="938"/>
      <c r="O1671" s="1094"/>
      <c r="P1671" s="1094">
        <f>P1476</f>
        <v>0</v>
      </c>
    </row>
    <row r="1672" spans="1:21" ht="15">
      <c r="H1672" s="582"/>
      <c r="I1672" s="937" t="s">
        <v>3604</v>
      </c>
      <c r="J1672" s="956"/>
      <c r="K1672" s="956"/>
      <c r="L1672" s="1029"/>
      <c r="N1672" s="938"/>
      <c r="O1672" s="938"/>
      <c r="P1672" s="1094">
        <f>P1536</f>
        <v>0</v>
      </c>
    </row>
    <row r="1673" spans="1:21" ht="15">
      <c r="H1673" s="1029"/>
      <c r="I1673" s="937" t="s">
        <v>3605</v>
      </c>
      <c r="J1673" s="994"/>
      <c r="K1673" s="994"/>
      <c r="L1673" s="994"/>
      <c r="M1673" s="994"/>
      <c r="N1673" s="1041"/>
      <c r="O1673" s="1042"/>
      <c r="P1673" s="1094">
        <f>P1570</f>
        <v>0</v>
      </c>
    </row>
    <row r="1674" spans="1:21">
      <c r="H1674" s="585" t="s">
        <v>3606</v>
      </c>
      <c r="I1674" s="938"/>
      <c r="J1674" s="988"/>
      <c r="K1674" s="988"/>
      <c r="L1674" s="988"/>
      <c r="M1674" s="985"/>
      <c r="N1674" s="938"/>
      <c r="O1674" s="836"/>
      <c r="P1674" s="1094">
        <f>P1670-P1671-P1672-P1673</f>
        <v>10</v>
      </c>
    </row>
    <row r="1678" spans="1:21" ht="15.75">
      <c r="A1678" s="1127" t="s">
        <v>3600</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
      </c>
    </row>
    <row r="1682" spans="1:1">
      <c r="A1682" s="623"/>
    </row>
    <row r="1683" spans="1:1">
      <c r="A1683" s="1735" t="str">
        <f>'Pt IX B-Super Proj Concept Narr'!A6</f>
        <v>N/A</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4" zoomScale="75" zoomScaleNormal="75" workbookViewId="0">
      <selection activeCell="A4" sqref="A1:XFD1048576"/>
    </sheetView>
  </sheetViews>
  <sheetFormatPr defaultRowHeight="12.75"/>
  <cols>
    <col min="1" max="1" width="144.85546875" style="31" customWidth="1"/>
    <col min="2" max="16384" width="9.140625" style="31"/>
  </cols>
  <sheetData>
    <row r="1" spans="1:6" ht="15.75">
      <c r="A1" s="1938" t="s">
        <v>1040</v>
      </c>
    </row>
    <row r="2" spans="1:6" ht="16.5">
      <c r="A2" s="1939" t="str">
        <f>'Part I-Project Information'!F23</f>
        <v>Macon Gardens</v>
      </c>
    </row>
    <row r="3" spans="1:6" ht="16.5">
      <c r="A3" s="1939" t="str">
        <f>CONCATENATE('Part I-Project Information'!F27,", ", 'Part I-Project Information'!J28," County")</f>
        <v>Macon, Bibb County</v>
      </c>
    </row>
    <row r="4" spans="1:6" ht="12" customHeight="1"/>
    <row r="5" spans="1:6" ht="111" customHeight="1">
      <c r="A5" s="1940" t="s">
        <v>3783</v>
      </c>
      <c r="B5" s="1181" t="s">
        <v>2925</v>
      </c>
      <c r="C5" s="1181"/>
      <c r="D5" s="1181"/>
      <c r="E5" s="1181"/>
      <c r="F5" s="1181"/>
    </row>
    <row r="6" spans="1:6" ht="6.6" customHeight="1">
      <c r="A6" s="1940"/>
      <c r="B6" s="1181"/>
      <c r="C6" s="1181"/>
      <c r="D6" s="1181"/>
      <c r="E6" s="1181"/>
      <c r="F6" s="1181"/>
    </row>
    <row r="7" spans="1:6" ht="93" customHeight="1">
      <c r="A7" s="1940"/>
    </row>
    <row r="8" spans="1:6" ht="6.6" customHeight="1">
      <c r="A8" s="1940"/>
    </row>
    <row r="9" spans="1:6" ht="93" customHeight="1">
      <c r="A9" s="1940"/>
    </row>
    <row r="10" spans="1:6" ht="6.6" customHeight="1">
      <c r="A10" s="1940"/>
    </row>
    <row r="11" spans="1:6" ht="93" customHeight="1">
      <c r="A11" s="1940"/>
    </row>
    <row r="12" spans="1:6" ht="6.6" customHeight="1">
      <c r="A12" s="1940"/>
    </row>
    <row r="13" spans="1:6" ht="93" customHeight="1">
      <c r="A13" s="1940"/>
    </row>
    <row r="14" spans="1:6" ht="6.6" customHeight="1">
      <c r="A14" s="1940"/>
    </row>
    <row r="15" spans="1:6" ht="93" customHeight="1">
      <c r="A15" s="1940"/>
    </row>
    <row r="16" spans="1:6" ht="6.6" customHeight="1">
      <c r="A16" s="1940"/>
    </row>
    <row r="17" spans="1:1" ht="93" customHeight="1">
      <c r="A17" s="1940"/>
    </row>
    <row r="18" spans="1:1" ht="6.6" customHeight="1">
      <c r="A18" s="1940"/>
    </row>
    <row r="19" spans="1:1" ht="93" customHeight="1">
      <c r="A19" s="1940"/>
    </row>
    <row r="20" spans="1:1" ht="6.6" customHeight="1">
      <c r="A20" s="1940"/>
    </row>
    <row r="21" spans="1:1" ht="93" customHeight="1">
      <c r="A21" s="1940"/>
    </row>
    <row r="22" spans="1:1" ht="6.6" customHeight="1">
      <c r="A22" s="1940"/>
    </row>
    <row r="23" spans="1:1" ht="93" customHeight="1">
      <c r="A23" s="1940"/>
    </row>
  </sheetData>
  <sheetProtection password="B3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- 2014-051 Macon Gardens, Macon, Bibb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2519</v>
      </c>
      <c r="F3" s="364"/>
      <c r="G3" s="331" t="s">
        <v>466</v>
      </c>
      <c r="L3" s="363"/>
      <c r="O3" s="1203" t="s">
        <v>2894</v>
      </c>
      <c r="P3" s="1203"/>
    </row>
    <row r="4" spans="1:16" s="362" customFormat="1" ht="12" customHeight="1" thickBot="1">
      <c r="A4" s="620"/>
      <c r="B4" s="365"/>
      <c r="C4" s="737"/>
      <c r="D4" s="213" t="s">
        <v>3586</v>
      </c>
      <c r="F4" s="366"/>
      <c r="G4" s="331" t="s">
        <v>467</v>
      </c>
      <c r="H4" s="1139"/>
      <c r="I4" s="1139"/>
      <c r="J4" s="1139"/>
      <c r="O4" s="1941" t="s">
        <v>3842</v>
      </c>
      <c r="P4" s="1942"/>
    </row>
    <row r="5" spans="1:16" s="362" customFormat="1" ht="9" customHeight="1">
      <c r="A5" s="620"/>
      <c r="B5" s="365"/>
      <c r="C5" s="365"/>
      <c r="D5" s="365"/>
      <c r="E5" s="1139"/>
      <c r="H5" s="1139"/>
      <c r="I5" s="1139"/>
      <c r="J5" s="1139"/>
      <c r="K5" s="329"/>
      <c r="M5" s="1139"/>
    </row>
    <row r="6" spans="1:16" s="362" customFormat="1" ht="13.15" customHeight="1">
      <c r="A6" s="365" t="s">
        <v>658</v>
      </c>
      <c r="B6" s="365" t="s">
        <v>2532</v>
      </c>
      <c r="D6" s="332"/>
      <c r="E6" s="367"/>
      <c r="F6" s="368" t="s">
        <v>1837</v>
      </c>
      <c r="J6" s="1197">
        <f>'Part IV-Uses of Funds'!J173</f>
        <v>799296.5</v>
      </c>
      <c r="K6" s="1198"/>
      <c r="M6" s="1139"/>
    </row>
    <row r="7" spans="1:16" s="1" customFormat="1" ht="13.15" customHeight="1">
      <c r="A7" s="5"/>
      <c r="B7" s="5"/>
      <c r="D7" s="31"/>
      <c r="E7" s="449"/>
      <c r="F7" s="362" t="s">
        <v>1370</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15" customHeight="1">
      <c r="A9" s="369" t="s">
        <v>791</v>
      </c>
      <c r="B9" s="365" t="s">
        <v>2179</v>
      </c>
      <c r="F9" s="1943" t="s">
        <v>3709</v>
      </c>
      <c r="G9" s="1944"/>
      <c r="H9" s="1945"/>
      <c r="I9" s="401"/>
      <c r="J9" s="661" t="s">
        <v>3221</v>
      </c>
      <c r="K9" s="374"/>
      <c r="L9" s="1139"/>
      <c r="O9" s="1946" t="s">
        <v>3715</v>
      </c>
      <c r="P9" s="1947"/>
    </row>
    <row r="10" spans="1:16" s="362" customFormat="1" ht="12.75" customHeight="1">
      <c r="A10" s="620"/>
      <c r="H10" s="1139"/>
      <c r="J10" s="662" t="s">
        <v>3000</v>
      </c>
      <c r="K10" s="329"/>
      <c r="M10" s="1139"/>
      <c r="O10" s="1948" t="s">
        <v>3702</v>
      </c>
      <c r="P10" s="1949"/>
    </row>
    <row r="11" spans="1:16" s="362" customFormat="1" ht="7.15" customHeight="1">
      <c r="I11" s="332"/>
      <c r="J11" s="332"/>
      <c r="K11" s="332"/>
      <c r="L11" s="332"/>
      <c r="M11" s="332"/>
      <c r="N11" s="332"/>
      <c r="O11" s="332"/>
      <c r="P11" s="332"/>
    </row>
    <row r="12" spans="1:16" s="362" customFormat="1" ht="13.15" customHeight="1">
      <c r="A12" s="369" t="s">
        <v>793</v>
      </c>
      <c r="B12" s="365" t="s">
        <v>1572</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2451</v>
      </c>
      <c r="F14" s="1950" t="s">
        <v>3710</v>
      </c>
      <c r="G14" s="1951"/>
      <c r="H14" s="1951"/>
      <c r="I14" s="1951"/>
      <c r="J14" s="1951"/>
      <c r="K14" s="1951"/>
      <c r="L14" s="1952"/>
      <c r="M14" s="1134" t="s">
        <v>2116</v>
      </c>
      <c r="N14" s="1950" t="s">
        <v>3711</v>
      </c>
      <c r="O14" s="1951"/>
      <c r="P14" s="1952"/>
    </row>
    <row r="15" spans="1:16" s="362" customFormat="1" ht="13.15" customHeight="1">
      <c r="B15" s="368" t="s">
        <v>2117</v>
      </c>
      <c r="F15" s="1950" t="s">
        <v>3712</v>
      </c>
      <c r="G15" s="1951"/>
      <c r="H15" s="1951"/>
      <c r="I15" s="1951"/>
      <c r="J15" s="1951"/>
      <c r="K15" s="1951"/>
      <c r="L15" s="1952"/>
      <c r="M15" s="1134" t="s">
        <v>1843</v>
      </c>
      <c r="O15" s="1953">
        <v>6785145904</v>
      </c>
      <c r="P15" s="1954"/>
    </row>
    <row r="16" spans="1:16" s="362" customFormat="1" ht="13.15" customHeight="1">
      <c r="B16" s="368" t="s">
        <v>660</v>
      </c>
      <c r="F16" s="1955" t="s">
        <v>1283</v>
      </c>
      <c r="G16" s="1956"/>
      <c r="H16" s="1957"/>
      <c r="M16" s="1134" t="s">
        <v>1927</v>
      </c>
      <c r="O16" s="1958">
        <v>6785145919</v>
      </c>
      <c r="P16" s="1959"/>
    </row>
    <row r="17" spans="1:16" s="362" customFormat="1" ht="13.15" customHeight="1">
      <c r="B17" s="368" t="s">
        <v>1924</v>
      </c>
      <c r="F17" s="1960" t="s">
        <v>903</v>
      </c>
      <c r="I17" s="1139" t="s">
        <v>2376</v>
      </c>
      <c r="J17" s="1961">
        <v>303421372</v>
      </c>
      <c r="K17" s="1962"/>
      <c r="M17" s="1134" t="s">
        <v>2115</v>
      </c>
      <c r="O17" s="1958">
        <v>4042136524</v>
      </c>
      <c r="P17" s="1959"/>
    </row>
    <row r="18" spans="1:16" s="362" customFormat="1" ht="13.15" customHeight="1">
      <c r="B18" s="368" t="s">
        <v>1842</v>
      </c>
      <c r="F18" s="1958">
        <v>6785145900</v>
      </c>
      <c r="G18" s="1963"/>
      <c r="H18" s="1959"/>
      <c r="I18" s="1131" t="s">
        <v>1841</v>
      </c>
      <c r="J18" s="1964">
        <v>5904</v>
      </c>
      <c r="K18" s="1139" t="s">
        <v>2120</v>
      </c>
      <c r="L18" s="1950" t="s">
        <v>3713</v>
      </c>
      <c r="M18" s="1951"/>
      <c r="N18" s="1951"/>
      <c r="O18" s="1951"/>
      <c r="P18" s="1952"/>
    </row>
    <row r="19" spans="1:16" s="362" customFormat="1" ht="13.15" customHeight="1">
      <c r="A19" s="365"/>
      <c r="B19" s="355" t="s">
        <v>700</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15" customHeight="1">
      <c r="A21" s="369" t="s">
        <v>1917</v>
      </c>
      <c r="B21" s="365" t="s">
        <v>1573</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659</v>
      </c>
      <c r="D23" s="374"/>
      <c r="F23" s="1965" t="s">
        <v>3706</v>
      </c>
      <c r="G23" s="1966"/>
      <c r="H23" s="1966"/>
      <c r="I23" s="1966"/>
      <c r="J23" s="1966"/>
      <c r="K23" s="1966"/>
      <c r="L23" s="1967"/>
      <c r="M23" s="1134" t="s">
        <v>2333</v>
      </c>
      <c r="O23" s="1950" t="s">
        <v>3702</v>
      </c>
      <c r="P23" s="1952"/>
    </row>
    <row r="24" spans="1:16" s="362" customFormat="1" ht="13.15" customHeight="1">
      <c r="A24" s="375"/>
      <c r="B24" s="362" t="s">
        <v>2932</v>
      </c>
      <c r="D24" s="376"/>
      <c r="F24" s="1950" t="s">
        <v>3707</v>
      </c>
      <c r="G24" s="1951"/>
      <c r="H24" s="1951"/>
      <c r="I24" s="1951"/>
      <c r="J24" s="1951"/>
      <c r="K24" s="1951"/>
      <c r="L24" s="1952"/>
      <c r="M24" s="1134" t="s">
        <v>2189</v>
      </c>
      <c r="O24" s="1950" t="s">
        <v>3702</v>
      </c>
      <c r="P24" s="1952"/>
    </row>
    <row r="25" spans="1:16" s="362" customFormat="1" ht="13.15" customHeight="1">
      <c r="A25" s="375"/>
      <c r="B25" s="362" t="s">
        <v>3005</v>
      </c>
      <c r="D25" s="376"/>
      <c r="F25" s="1950" t="s">
        <v>3707</v>
      </c>
      <c r="G25" s="1951"/>
      <c r="H25" s="1951"/>
      <c r="I25" s="1951"/>
      <c r="J25" s="1951"/>
      <c r="K25" s="1951"/>
      <c r="L25" s="1952"/>
      <c r="M25" s="1134" t="s">
        <v>3006</v>
      </c>
      <c r="O25" s="1968"/>
      <c r="P25" s="1969"/>
    </row>
    <row r="26" spans="1:16" s="362" customFormat="1" ht="13.15" customHeight="1">
      <c r="A26" s="375"/>
      <c r="B26" s="362" t="s">
        <v>3234</v>
      </c>
      <c r="D26" s="376"/>
      <c r="F26" s="1950" t="s">
        <v>3784</v>
      </c>
      <c r="G26" s="1951"/>
      <c r="H26" s="1951"/>
      <c r="I26" s="1951"/>
      <c r="J26" s="1951"/>
      <c r="K26" s="1951"/>
      <c r="L26" s="1952"/>
      <c r="M26" s="1134" t="s">
        <v>2432</v>
      </c>
      <c r="O26" s="1970">
        <v>32.93</v>
      </c>
      <c r="P26" s="1971"/>
    </row>
    <row r="27" spans="1:16" s="362" customFormat="1" ht="13.15" customHeight="1">
      <c r="A27" s="620"/>
      <c r="B27" s="362" t="s">
        <v>660</v>
      </c>
      <c r="F27" s="1950" t="s">
        <v>1407</v>
      </c>
      <c r="G27" s="1951"/>
      <c r="H27" s="1952"/>
      <c r="I27" s="380" t="s">
        <v>2933</v>
      </c>
      <c r="J27" s="1961">
        <v>312044900</v>
      </c>
      <c r="K27" s="1962"/>
      <c r="L27" s="441" t="str">
        <f>IF(AND(NOT(F23=""),NOT(F27="Select from list"),J27=""),"Enter Zip!","")</f>
        <v/>
      </c>
      <c r="M27" s="378" t="s">
        <v>2444</v>
      </c>
      <c r="O27" s="1972" t="s">
        <v>3836</v>
      </c>
      <c r="P27" s="1973"/>
    </row>
    <row r="28" spans="1:16" s="362" customFormat="1" ht="13.15" customHeight="1">
      <c r="A28" s="620"/>
      <c r="B28" s="1142" t="s">
        <v>3209</v>
      </c>
      <c r="D28" s="1142"/>
      <c r="F28" s="1974" t="s">
        <v>3708</v>
      </c>
      <c r="G28" s="1975"/>
      <c r="H28" s="1976"/>
      <c r="I28" s="377" t="s">
        <v>661</v>
      </c>
      <c r="J28" s="1977" t="str">
        <f>IF($F$27="","",VLOOKUP($F$27,$N$179:$O$809,2,FALSE))</f>
        <v>Bibb</v>
      </c>
      <c r="K28" s="1978"/>
      <c r="M28" s="1134" t="s">
        <v>476</v>
      </c>
      <c r="N28" s="1979" t="s">
        <v>3702</v>
      </c>
      <c r="O28" s="370" t="s">
        <v>477</v>
      </c>
      <c r="P28" s="1979"/>
    </row>
    <row r="29" spans="1:16" s="362" customFormat="1" ht="13.15" customHeight="1">
      <c r="A29" s="620"/>
      <c r="B29" s="365"/>
      <c r="C29" s="362" t="s">
        <v>1667</v>
      </c>
      <c r="F29" s="1980" t="s">
        <v>3702</v>
      </c>
      <c r="G29" s="1201" t="s">
        <v>3235</v>
      </c>
      <c r="H29" s="1202"/>
      <c r="I29" s="669" t="str">
        <f>IF($J$28="","",IF(VLOOKUP($J$28,C179:I338,7,FALSE)="Rural","Yes",IF(VLOOKUP($J$28,C179:I338,7,FALSE)="Urban","No","")))</f>
        <v>No</v>
      </c>
      <c r="J29" s="1131" t="s">
        <v>3259</v>
      </c>
      <c r="K29" s="1131" t="str">
        <f>IF(OR(F29="Yes",I29="Yes"),"Rural","Urban")</f>
        <v>Urban</v>
      </c>
      <c r="M29" s="1134" t="s">
        <v>2795</v>
      </c>
      <c r="N29" s="523" t="str">
        <f>VLOOKUP($J$28,$C$179:$F$338,4)</f>
        <v>MSA</v>
      </c>
      <c r="O29" s="1981" t="str">
        <f>IF($F$27="","",VLOOKUP($J$28,$C$179:$H$338,3,FALSE))</f>
        <v>Macon</v>
      </c>
      <c r="P29" s="1982"/>
    </row>
    <row r="30" spans="1:16" s="362" customFormat="1" ht="3" customHeight="1">
      <c r="A30" s="620"/>
      <c r="B30" s="365"/>
      <c r="C30" s="365"/>
      <c r="I30" s="368"/>
      <c r="J30" s="1142"/>
      <c r="L30" s="1148"/>
      <c r="M30" s="1148"/>
      <c r="N30" s="1148"/>
      <c r="O30" s="1148"/>
      <c r="P30" s="1148"/>
    </row>
    <row r="31" spans="1:16" s="362" customFormat="1" ht="13.15" customHeight="1">
      <c r="A31" s="620"/>
      <c r="C31" s="362" t="s">
        <v>3017</v>
      </c>
      <c r="F31" s="1196" t="s">
        <v>3152</v>
      </c>
      <c r="G31" s="1196"/>
      <c r="H31" s="1195" t="s">
        <v>787</v>
      </c>
      <c r="I31" s="1195"/>
      <c r="J31" s="1195" t="s">
        <v>788</v>
      </c>
      <c r="K31" s="1195"/>
      <c r="L31" s="654" t="s">
        <v>2934</v>
      </c>
    </row>
    <row r="32" spans="1:16" s="362" customFormat="1" ht="13.15" customHeight="1">
      <c r="A32" s="620"/>
      <c r="B32" s="362" t="s">
        <v>3151</v>
      </c>
      <c r="D32" s="365"/>
      <c r="F32" s="1983">
        <v>2</v>
      </c>
      <c r="G32" s="1984"/>
      <c r="H32" s="1983">
        <v>26</v>
      </c>
      <c r="I32" s="1984"/>
      <c r="J32" s="1983">
        <v>142</v>
      </c>
      <c r="K32" s="1984"/>
      <c r="L32" s="650" t="s">
        <v>1365</v>
      </c>
      <c r="N32" s="1185" t="s">
        <v>1366</v>
      </c>
      <c r="O32" s="1185"/>
      <c r="P32" s="1185"/>
    </row>
    <row r="33" spans="1:17" s="362" customFormat="1" ht="12.75" customHeight="1">
      <c r="A33" s="620"/>
      <c r="B33" s="368" t="s">
        <v>789</v>
      </c>
      <c r="F33" s="1983"/>
      <c r="G33" s="1984"/>
      <c r="H33" s="1983"/>
      <c r="I33" s="1984"/>
      <c r="J33" s="1983"/>
      <c r="K33" s="1984"/>
      <c r="L33" s="650" t="s">
        <v>3150</v>
      </c>
      <c r="N33" s="1186" t="s">
        <v>3149</v>
      </c>
      <c r="O33" s="1186"/>
    </row>
    <row r="34" spans="1:17" s="362" customFormat="1" ht="3" customHeight="1">
      <c r="A34" s="620"/>
      <c r="I34" s="1148"/>
      <c r="J34" s="1148"/>
      <c r="K34" s="1148"/>
      <c r="L34" s="1142"/>
      <c r="M34" s="1142"/>
      <c r="N34" s="1142"/>
      <c r="O34" s="1142"/>
      <c r="P34" s="1142"/>
    </row>
    <row r="35" spans="1:17" s="362" customFormat="1" ht="13.15" customHeight="1">
      <c r="A35" s="620"/>
      <c r="B35" s="365" t="s">
        <v>679</v>
      </c>
      <c r="F35" s="1985" t="s">
        <v>3716</v>
      </c>
      <c r="G35" s="1986"/>
      <c r="H35" s="1986"/>
      <c r="I35" s="1986"/>
      <c r="J35" s="1987"/>
      <c r="K35" s="1988"/>
      <c r="M35" s="643" t="s">
        <v>2945</v>
      </c>
      <c r="N35" s="1974" t="s">
        <v>3720</v>
      </c>
      <c r="O35" s="1975"/>
      <c r="P35" s="1976"/>
    </row>
    <row r="36" spans="1:17" s="362" customFormat="1" ht="13.15" customHeight="1">
      <c r="A36" s="620"/>
      <c r="B36" s="362" t="s">
        <v>680</v>
      </c>
      <c r="F36" s="1989" t="s">
        <v>3717</v>
      </c>
      <c r="G36" s="1990"/>
      <c r="H36" s="1991"/>
      <c r="I36" s="1132" t="s">
        <v>2116</v>
      </c>
      <c r="J36" s="1974" t="s">
        <v>3718</v>
      </c>
      <c r="K36" s="1975"/>
      <c r="L36" s="1976"/>
      <c r="M36" s="368" t="s">
        <v>1925</v>
      </c>
      <c r="N36" s="1989" t="s">
        <v>3721</v>
      </c>
      <c r="O36" s="1990"/>
      <c r="P36" s="1991"/>
    </row>
    <row r="37" spans="1:17" s="362" customFormat="1" ht="13.15" customHeight="1">
      <c r="A37" s="620"/>
      <c r="B37" s="362" t="s">
        <v>2117</v>
      </c>
      <c r="F37" s="1989" t="s">
        <v>3719</v>
      </c>
      <c r="G37" s="1990"/>
      <c r="H37" s="1990"/>
      <c r="I37" s="1990"/>
      <c r="J37" s="1992"/>
      <c r="K37" s="1993"/>
      <c r="M37" s="1138" t="s">
        <v>660</v>
      </c>
      <c r="N37" s="1974" t="s">
        <v>1407</v>
      </c>
      <c r="O37" s="1975"/>
      <c r="P37" s="1976"/>
    </row>
    <row r="38" spans="1:17" s="362" customFormat="1" ht="13.15" customHeight="1">
      <c r="A38" s="620"/>
      <c r="B38" s="1134" t="s">
        <v>2376</v>
      </c>
      <c r="F38" s="1994">
        <v>312020247</v>
      </c>
      <c r="G38" s="1995"/>
      <c r="H38" s="1131" t="s">
        <v>2118</v>
      </c>
      <c r="I38" s="1996">
        <v>4787517400</v>
      </c>
      <c r="J38" s="1997"/>
      <c r="K38" s="1998"/>
      <c r="M38" s="368" t="s">
        <v>1927</v>
      </c>
      <c r="N38" s="1999"/>
      <c r="O38" s="2000"/>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1919</v>
      </c>
      <c r="B40" s="365" t="s">
        <v>1574</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15" customHeight="1">
      <c r="A42" s="620"/>
      <c r="B42" s="620" t="s">
        <v>2119</v>
      </c>
      <c r="C42" s="365" t="s">
        <v>768</v>
      </c>
      <c r="I42" s="1142"/>
      <c r="J42" s="1142"/>
      <c r="K42" s="651"/>
      <c r="L42" s="1142"/>
      <c r="M42" s="653"/>
      <c r="N42" s="653"/>
      <c r="O42" s="653"/>
      <c r="P42" s="653"/>
      <c r="Q42" s="1139"/>
    </row>
    <row r="43" spans="1:17" ht="13.15" customHeight="1">
      <c r="B43" s="620"/>
      <c r="C43" s="362" t="s">
        <v>2445</v>
      </c>
      <c r="D43" s="362"/>
      <c r="E43" s="362"/>
      <c r="F43" s="383">
        <f>'Part VI-Revenues &amp; Expenses'!$M$74</f>
        <v>0</v>
      </c>
      <c r="H43" s="368" t="s">
        <v>385</v>
      </c>
      <c r="J43" s="362"/>
      <c r="M43" s="383">
        <f>'Part VI-Revenues &amp; Expenses'!$M$81</f>
        <v>0</v>
      </c>
      <c r="Q43" s="1139"/>
    </row>
    <row r="44" spans="1:17" s="362" customFormat="1" ht="13.15" customHeight="1">
      <c r="A44" s="620"/>
      <c r="B44" s="620"/>
      <c r="C44" s="384" t="s">
        <v>366</v>
      </c>
      <c r="F44" s="383">
        <f>'Part VI-Revenues &amp; Expenses'!$M$80</f>
        <v>0</v>
      </c>
      <c r="H44" s="384" t="s">
        <v>386</v>
      </c>
      <c r="M44" s="383">
        <f>'Part VI-Revenues &amp; Expenses'!$M$82</f>
        <v>0</v>
      </c>
    </row>
    <row r="45" spans="1:17" s="362" customFormat="1" ht="13.15" customHeight="1">
      <c r="B45" s="620"/>
      <c r="C45" s="368" t="s">
        <v>365</v>
      </c>
      <c r="D45" s="1142"/>
      <c r="F45" s="383">
        <f>'Part VI-Revenues &amp; Expenses'!$M$77</f>
        <v>132</v>
      </c>
      <c r="G45" s="622" t="s">
        <v>3002</v>
      </c>
      <c r="H45" s="362" t="s">
        <v>367</v>
      </c>
      <c r="M45" s="2001">
        <v>28126</v>
      </c>
      <c r="Q45" s="1139"/>
    </row>
    <row r="46" spans="1:17" s="362" customFormat="1" ht="3.6" customHeight="1">
      <c r="A46" s="620"/>
      <c r="P46" s="1142"/>
    </row>
    <row r="47" spans="1:17" s="362" customFormat="1" ht="12.75">
      <c r="A47" s="620"/>
      <c r="B47" s="620" t="s">
        <v>2122</v>
      </c>
      <c r="C47" s="365" t="s">
        <v>2446</v>
      </c>
      <c r="F47" s="1964" t="s">
        <v>3702</v>
      </c>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800</v>
      </c>
      <c r="C49" s="374" t="s">
        <v>2425</v>
      </c>
      <c r="D49" s="1142"/>
      <c r="I49" s="1209" t="s">
        <v>1512</v>
      </c>
      <c r="J49" s="375" t="s">
        <v>2254</v>
      </c>
      <c r="K49" s="385" t="s">
        <v>2452</v>
      </c>
      <c r="M49" s="1142"/>
      <c r="N49" s="1142"/>
      <c r="O49" s="1142"/>
      <c r="P49" s="1139"/>
      <c r="Q49" s="1139"/>
      <c r="R49" s="1139"/>
      <c r="S49" s="1142"/>
    </row>
    <row r="50" spans="1:19" s="362" customFormat="1" ht="13.15" customHeight="1">
      <c r="A50" s="620"/>
      <c r="B50" s="1133"/>
      <c r="C50" s="372" t="s">
        <v>2426</v>
      </c>
      <c r="D50" s="1142"/>
      <c r="E50" s="1142"/>
      <c r="H50" s="386">
        <f>SUM(H51:H52)</f>
        <v>132</v>
      </c>
      <c r="I50" s="1210"/>
      <c r="J50" s="620"/>
      <c r="K50" s="372" t="s">
        <v>3224</v>
      </c>
      <c r="M50" s="1142"/>
      <c r="N50" s="1142"/>
      <c r="O50" s="1142"/>
      <c r="P50" s="386">
        <f>'Part VI-Revenues &amp; Expenses'!$M$96</f>
        <v>106196</v>
      </c>
    </row>
    <row r="51" spans="1:19" s="362" customFormat="1" ht="13.15" customHeight="1">
      <c r="A51" s="620"/>
      <c r="B51" s="382"/>
      <c r="D51" s="387" t="s">
        <v>405</v>
      </c>
      <c r="E51" s="1142"/>
      <c r="H51" s="386">
        <f>'Part VI-Revenues &amp; Expenses'!$M$57</f>
        <v>71</v>
      </c>
      <c r="I51" s="386">
        <f>'Part VI-Revenues &amp; Expenses'!$M$65</f>
        <v>71</v>
      </c>
      <c r="K51" s="372" t="s">
        <v>3225</v>
      </c>
      <c r="M51" s="1142"/>
      <c r="N51" s="1142"/>
      <c r="O51" s="1142"/>
      <c r="P51" s="386">
        <f>'Part VI-Revenues &amp; Expenses'!$M$97</f>
        <v>0</v>
      </c>
    </row>
    <row r="52" spans="1:19" s="362" customFormat="1" ht="13.15" customHeight="1">
      <c r="A52" s="620"/>
      <c r="D52" s="387" t="s">
        <v>1950</v>
      </c>
      <c r="E52" s="387"/>
      <c r="H52" s="386">
        <f>'Part VI-Revenues &amp; Expenses'!$M$56</f>
        <v>61</v>
      </c>
      <c r="I52" s="386">
        <f>'Part VI-Revenues &amp; Expenses'!$M$64</f>
        <v>60</v>
      </c>
      <c r="K52" s="372" t="s">
        <v>3226</v>
      </c>
      <c r="M52" s="1142"/>
      <c r="N52" s="1142"/>
      <c r="O52" s="1142"/>
      <c r="P52" s="386">
        <f>+P50+P51</f>
        <v>106196</v>
      </c>
    </row>
    <row r="53" spans="1:19" s="362" customFormat="1" ht="13.15" customHeight="1">
      <c r="A53" s="620"/>
      <c r="C53" s="372" t="s">
        <v>267</v>
      </c>
      <c r="D53" s="1142"/>
      <c r="E53" s="1142"/>
      <c r="H53" s="386">
        <f>'Part VI-Revenues &amp; Expenses'!$M$59</f>
        <v>0</v>
      </c>
      <c r="J53" s="620"/>
      <c r="K53" s="372" t="s">
        <v>3227</v>
      </c>
      <c r="M53" s="1142"/>
      <c r="N53" s="1142"/>
      <c r="O53" s="1142"/>
      <c r="P53" s="386">
        <f>'Part VI-Revenues &amp; Expenses'!$M$99</f>
        <v>0</v>
      </c>
    </row>
    <row r="54" spans="1:19" s="362" customFormat="1" ht="13.15" customHeight="1">
      <c r="A54" s="620"/>
      <c r="C54" s="372" t="s">
        <v>2571</v>
      </c>
      <c r="D54" s="1142"/>
      <c r="E54" s="1142"/>
      <c r="H54" s="386">
        <f>+H50+H53</f>
        <v>132</v>
      </c>
      <c r="J54" s="620"/>
      <c r="K54" s="372" t="s">
        <v>1514</v>
      </c>
      <c r="M54" s="1142"/>
      <c r="N54" s="1142"/>
      <c r="O54" s="1142"/>
      <c r="P54" s="386">
        <f>+P52+P53</f>
        <v>106196</v>
      </c>
    </row>
    <row r="55" spans="1:19" s="362" customFormat="1" ht="13.15" customHeight="1">
      <c r="A55" s="620"/>
      <c r="C55" s="372" t="s">
        <v>2572</v>
      </c>
      <c r="D55" s="1142"/>
      <c r="E55" s="1142"/>
      <c r="H55" s="386">
        <f>'Part VI-Revenues &amp; Expenses'!$M$61</f>
        <v>0</v>
      </c>
      <c r="J55" s="620"/>
    </row>
    <row r="56" spans="1:19" s="362" customFormat="1" ht="13.15" customHeight="1">
      <c r="A56" s="620"/>
      <c r="C56" s="372" t="s">
        <v>1918</v>
      </c>
      <c r="D56" s="1142"/>
      <c r="E56" s="1142"/>
      <c r="H56" s="386">
        <f>+H54+H55</f>
        <v>132</v>
      </c>
      <c r="J56" s="1142"/>
    </row>
    <row r="57" spans="1:19" s="362" customFormat="1" ht="3" customHeight="1">
      <c r="A57" s="620"/>
      <c r="I57" s="1139"/>
      <c r="L57" s="1139"/>
      <c r="M57" s="1139"/>
      <c r="N57" s="1142"/>
      <c r="P57" s="373"/>
    </row>
    <row r="58" spans="1:19" s="362" customFormat="1" ht="13.15" customHeight="1">
      <c r="A58" s="620"/>
      <c r="B58" s="620" t="s">
        <v>1858</v>
      </c>
      <c r="C58" s="374" t="s">
        <v>2447</v>
      </c>
      <c r="D58" s="387" t="s">
        <v>2133</v>
      </c>
      <c r="G58" s="1142"/>
      <c r="H58" s="2002">
        <v>20</v>
      </c>
      <c r="K58" s="372" t="s">
        <v>1193</v>
      </c>
      <c r="O58" s="1142"/>
      <c r="P58" s="2002"/>
    </row>
    <row r="59" spans="1:19" s="362" customFormat="1" ht="13.15" customHeight="1">
      <c r="A59" s="620"/>
      <c r="B59" s="620"/>
      <c r="D59" s="1133" t="s">
        <v>2134</v>
      </c>
      <c r="H59" s="2002">
        <v>1</v>
      </c>
      <c r="I59" s="1142"/>
      <c r="K59" s="372" t="s">
        <v>266</v>
      </c>
      <c r="O59" s="1142"/>
      <c r="P59" s="386">
        <f>+P54+P58</f>
        <v>106196</v>
      </c>
    </row>
    <row r="60" spans="1:19" s="362" customFormat="1" ht="13.15" customHeight="1">
      <c r="A60" s="620"/>
      <c r="B60" s="620"/>
      <c r="D60" s="1133" t="s">
        <v>2135</v>
      </c>
      <c r="H60" s="386">
        <f>+H58+H59</f>
        <v>21</v>
      </c>
      <c r="I60" s="1142"/>
    </row>
    <row r="61" spans="1:19" s="362" customFormat="1" ht="3" customHeight="1">
      <c r="A61" s="620"/>
      <c r="B61" s="620"/>
      <c r="C61" s="1142"/>
      <c r="D61" s="1142"/>
      <c r="E61" s="1142"/>
      <c r="F61" s="1142"/>
      <c r="G61" s="1139"/>
      <c r="I61" s="372"/>
      <c r="J61" s="1142"/>
      <c r="P61" s="373"/>
    </row>
    <row r="62" spans="1:19" s="362" customFormat="1" ht="13.15" customHeight="1">
      <c r="A62" s="620"/>
      <c r="B62" s="620" t="s">
        <v>1859</v>
      </c>
      <c r="C62" s="374" t="s">
        <v>3393</v>
      </c>
      <c r="D62" s="1142"/>
      <c r="E62" s="1142"/>
      <c r="F62" s="1142"/>
      <c r="G62" s="1142"/>
      <c r="H62" s="2002">
        <v>183</v>
      </c>
      <c r="K62" s="362" t="s">
        <v>3400</v>
      </c>
    </row>
    <row r="63" spans="1:19" s="362" customFormat="1" ht="6.75" customHeight="1">
      <c r="A63" s="620"/>
      <c r="B63" s="620"/>
      <c r="C63" s="372"/>
      <c r="D63" s="1142"/>
      <c r="E63" s="1142"/>
      <c r="F63" s="1142"/>
      <c r="G63" s="1139"/>
      <c r="H63" s="1142"/>
      <c r="I63" s="372"/>
      <c r="J63" s="372"/>
      <c r="K63" s="1142"/>
      <c r="P63" s="373"/>
    </row>
    <row r="64" spans="1:19" s="362" customFormat="1" ht="13.15" customHeight="1">
      <c r="A64" s="620" t="s">
        <v>564</v>
      </c>
      <c r="B64" s="388" t="s">
        <v>1263</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15" customHeight="1">
      <c r="A66" s="620"/>
      <c r="B66" s="620" t="s">
        <v>2119</v>
      </c>
      <c r="C66" s="329" t="s">
        <v>2924</v>
      </c>
      <c r="D66" s="1136"/>
      <c r="E66" s="1136"/>
      <c r="F66" s="1142"/>
      <c r="G66" s="1139"/>
      <c r="H66" s="2003" t="s">
        <v>3714</v>
      </c>
      <c r="I66" s="2004"/>
      <c r="K66" s="1184" t="s">
        <v>1897</v>
      </c>
      <c r="L66" s="1184"/>
      <c r="N66" s="1950"/>
      <c r="O66" s="1951"/>
      <c r="P66" s="1952"/>
    </row>
    <row r="67" spans="1:16" s="362" customFormat="1" ht="3" customHeight="1">
      <c r="A67" s="620"/>
      <c r="B67" s="620"/>
      <c r="D67" s="1133"/>
      <c r="E67" s="1133"/>
      <c r="F67" s="1133"/>
      <c r="G67" s="1133"/>
      <c r="I67" s="1139"/>
      <c r="K67" s="1134"/>
      <c r="L67" s="1134"/>
      <c r="M67" s="1139"/>
      <c r="N67" s="1142"/>
      <c r="P67" s="373"/>
    </row>
    <row r="68" spans="1:16" s="362" customFormat="1" ht="13.15" customHeight="1">
      <c r="A68" s="620"/>
      <c r="B68" s="620" t="s">
        <v>2122</v>
      </c>
      <c r="C68" s="374" t="s">
        <v>1504</v>
      </c>
      <c r="D68" s="1142"/>
      <c r="E68" s="387"/>
      <c r="F68" s="1133" t="s">
        <v>851</v>
      </c>
      <c r="H68" s="2002">
        <v>7</v>
      </c>
      <c r="K68" s="1184" t="s">
        <v>554</v>
      </c>
      <c r="L68" s="1184"/>
      <c r="P68" s="390">
        <f>IF('Part VI-Revenues &amp; Expenses'!$M$62=0,0,H68/'Part VI-Revenues &amp; Expenses'!$M$62)</f>
        <v>5.3030303030303032E-2</v>
      </c>
    </row>
    <row r="69" spans="1:16" s="362" customFormat="1" ht="12.75" customHeight="1">
      <c r="A69" s="620"/>
      <c r="B69" s="620"/>
      <c r="D69" s="1133" t="s">
        <v>3391</v>
      </c>
      <c r="E69" s="1133"/>
      <c r="F69" s="1133" t="s">
        <v>851</v>
      </c>
      <c r="H69" s="2002">
        <v>3</v>
      </c>
      <c r="K69" s="1142" t="s">
        <v>3392</v>
      </c>
      <c r="L69" s="1142"/>
      <c r="P69" s="390">
        <f>IF(H68=0,0,H69/H68)</f>
        <v>0.42857142857142855</v>
      </c>
    </row>
    <row r="70" spans="1:16" s="362" customFormat="1" ht="3" customHeight="1">
      <c r="A70" s="620"/>
      <c r="B70" s="620"/>
      <c r="D70" s="1133"/>
      <c r="E70" s="1133"/>
      <c r="F70" s="1133"/>
      <c r="I70" s="1139"/>
      <c r="K70" s="1134"/>
      <c r="L70" s="1134"/>
      <c r="M70" s="1139"/>
      <c r="P70" s="1139"/>
    </row>
    <row r="71" spans="1:16" s="362" customFormat="1" ht="13.15" customHeight="1">
      <c r="A71" s="620"/>
      <c r="B71" s="620" t="s">
        <v>800</v>
      </c>
      <c r="C71" s="374" t="s">
        <v>1973</v>
      </c>
      <c r="D71" s="387"/>
      <c r="E71" s="387"/>
      <c r="F71" s="1133" t="s">
        <v>851</v>
      </c>
      <c r="H71" s="2002">
        <v>3</v>
      </c>
      <c r="K71" s="1184" t="s">
        <v>554</v>
      </c>
      <c r="L71" s="1184"/>
      <c r="P71" s="390">
        <f>IF('Part VI-Revenues &amp; Expenses'!$M$62=0,0,H71/'Part VI-Revenues &amp; Expenses'!$M$62)</f>
        <v>2.2727272727272728E-2</v>
      </c>
    </row>
    <row r="72" spans="1:16" s="362" customFormat="1" ht="6.75" customHeight="1">
      <c r="A72" s="620"/>
      <c r="B72" s="620"/>
      <c r="D72" s="1133"/>
      <c r="E72" s="1133"/>
      <c r="F72" s="1133"/>
      <c r="G72" s="1133"/>
      <c r="I72" s="1139"/>
      <c r="J72" s="1139"/>
      <c r="K72" s="1139"/>
      <c r="L72" s="1139"/>
      <c r="M72" s="1139"/>
      <c r="N72" s="1142"/>
      <c r="P72" s="373"/>
    </row>
    <row r="73" spans="1:16" s="362" customFormat="1" ht="13.15" customHeight="1">
      <c r="A73" s="391" t="s">
        <v>824</v>
      </c>
      <c r="B73" s="1136" t="s">
        <v>2534</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15" customHeight="1">
      <c r="A75" s="620"/>
      <c r="B75" s="620" t="s">
        <v>2119</v>
      </c>
      <c r="C75" s="329" t="s">
        <v>2533</v>
      </c>
      <c r="D75" s="1133"/>
      <c r="E75" s="1133"/>
      <c r="F75" s="1133"/>
      <c r="H75" s="2005" t="s">
        <v>925</v>
      </c>
      <c r="I75" s="2006"/>
      <c r="J75" s="2007"/>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15" customHeight="1">
      <c r="B77" s="620" t="s">
        <v>2122</v>
      </c>
      <c r="C77" s="365" t="s">
        <v>1641</v>
      </c>
      <c r="K77" s="368" t="s">
        <v>924</v>
      </c>
      <c r="N77" s="392"/>
      <c r="P77" s="1964" t="s">
        <v>3702</v>
      </c>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15" customHeight="1">
      <c r="A79" s="391" t="s">
        <v>309</v>
      </c>
      <c r="B79" s="1136" t="s">
        <v>2180</v>
      </c>
      <c r="D79" s="1133"/>
    </row>
    <row r="80" spans="1:16" s="362" customFormat="1" ht="3" customHeight="1">
      <c r="A80" s="620"/>
      <c r="B80" s="620"/>
      <c r="D80" s="1133"/>
      <c r="N80" s="1142"/>
      <c r="P80" s="373"/>
    </row>
    <row r="81" spans="1:16" s="362" customFormat="1" ht="13.15" customHeight="1">
      <c r="A81" s="391"/>
      <c r="B81" s="620" t="s">
        <v>2119</v>
      </c>
      <c r="C81" s="365" t="s">
        <v>2951</v>
      </c>
      <c r="F81" s="387" t="s">
        <v>2783</v>
      </c>
      <c r="H81" s="1964" t="s">
        <v>3702</v>
      </c>
    </row>
    <row r="82" spans="1:16" s="362" customFormat="1" ht="3" customHeight="1">
      <c r="A82" s="620"/>
      <c r="B82" s="620"/>
      <c r="C82" s="1136"/>
      <c r="F82" s="1133"/>
      <c r="H82" s="1133"/>
      <c r="J82" s="1139"/>
      <c r="K82" s="1139"/>
      <c r="L82" s="1139"/>
      <c r="M82" s="1139"/>
      <c r="N82" s="1139"/>
      <c r="P82" s="373"/>
    </row>
    <row r="83" spans="1:16" s="362" customFormat="1" ht="13.15" customHeight="1">
      <c r="A83" s="391"/>
      <c r="B83" s="620" t="s">
        <v>2122</v>
      </c>
      <c r="C83" s="365" t="s">
        <v>2952</v>
      </c>
      <c r="F83" s="1134" t="s">
        <v>2883</v>
      </c>
      <c r="H83" s="1964" t="s">
        <v>3702</v>
      </c>
      <c r="I83" s="609" t="s">
        <v>2953</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15" customHeight="1">
      <c r="A85" s="391" t="s">
        <v>446</v>
      </c>
      <c r="B85" s="1136" t="s">
        <v>3237</v>
      </c>
      <c r="D85" s="1133"/>
      <c r="H85" s="1974" t="s">
        <v>3294</v>
      </c>
      <c r="I85" s="1976"/>
      <c r="J85" s="1139"/>
    </row>
    <row r="86" spans="1:16" s="362" customFormat="1" ht="6.75" customHeight="1">
      <c r="A86" s="620"/>
      <c r="D86" s="380"/>
      <c r="E86" s="1142"/>
      <c r="I86" s="380"/>
      <c r="J86" s="372"/>
      <c r="K86" s="1142"/>
      <c r="P86" s="373"/>
    </row>
    <row r="87" spans="1:16" s="362" customFormat="1" ht="13.15" customHeight="1">
      <c r="A87" s="391" t="s">
        <v>382</v>
      </c>
      <c r="B87" s="385" t="s">
        <v>1261</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586</v>
      </c>
      <c r="D89" s="1142"/>
      <c r="E89" s="1950"/>
      <c r="F89" s="1951"/>
      <c r="G89" s="1951"/>
      <c r="H89" s="1951"/>
      <c r="I89" s="1951"/>
      <c r="J89" s="1951"/>
      <c r="K89" s="1951"/>
      <c r="L89" s="1952"/>
      <c r="M89" s="1183" t="s">
        <v>587</v>
      </c>
      <c r="N89" s="1183"/>
      <c r="O89" s="2008"/>
      <c r="P89" s="2009"/>
    </row>
    <row r="90" spans="1:16" s="362" customFormat="1" ht="13.15" customHeight="1">
      <c r="C90" s="368" t="s">
        <v>1084</v>
      </c>
      <c r="D90" s="376"/>
      <c r="E90" s="1950"/>
      <c r="F90" s="1951"/>
      <c r="G90" s="1951"/>
      <c r="H90" s="1951"/>
      <c r="I90" s="1951"/>
      <c r="J90" s="1951"/>
      <c r="K90" s="1951"/>
      <c r="L90" s="1952"/>
      <c r="M90" s="1183" t="s">
        <v>863</v>
      </c>
      <c r="N90" s="1183"/>
      <c r="O90" s="1965"/>
      <c r="P90" s="1967"/>
    </row>
    <row r="91" spans="1:16" s="362" customFormat="1" ht="13.15" customHeight="1">
      <c r="C91" s="368" t="s">
        <v>660</v>
      </c>
      <c r="E91" s="1950"/>
      <c r="F91" s="2010"/>
      <c r="G91" s="2011"/>
      <c r="H91" s="1131" t="s">
        <v>1924</v>
      </c>
      <c r="I91" s="1964"/>
      <c r="J91" s="393" t="s">
        <v>2376</v>
      </c>
      <c r="K91" s="1961"/>
      <c r="L91" s="2011"/>
      <c r="M91" s="332"/>
      <c r="N91" s="332"/>
      <c r="O91" s="332"/>
      <c r="P91" s="332"/>
    </row>
    <row r="92" spans="1:16" s="362" customFormat="1" ht="13.15" customHeight="1">
      <c r="C92" s="362" t="s">
        <v>2335</v>
      </c>
      <c r="E92" s="1950"/>
      <c r="F92" s="2010"/>
      <c r="G92" s="2011"/>
      <c r="H92" s="1139" t="s">
        <v>2116</v>
      </c>
      <c r="I92" s="1950"/>
      <c r="J92" s="2010"/>
      <c r="K92" s="2011"/>
      <c r="L92" s="1149" t="s">
        <v>2120</v>
      </c>
      <c r="M92" s="1950"/>
      <c r="N92" s="2010"/>
      <c r="O92" s="2010"/>
      <c r="P92" s="2011"/>
    </row>
    <row r="93" spans="1:16" s="362" customFormat="1" ht="13.15" customHeight="1">
      <c r="C93" s="368" t="s">
        <v>2334</v>
      </c>
      <c r="E93" s="1958"/>
      <c r="F93" s="1963"/>
      <c r="G93" s="1959"/>
      <c r="H93" s="1139" t="s">
        <v>1927</v>
      </c>
      <c r="I93" s="1996"/>
      <c r="J93" s="2011"/>
      <c r="K93" s="393" t="s">
        <v>1928</v>
      </c>
      <c r="L93" s="1996"/>
      <c r="M93" s="2011"/>
      <c r="N93" s="393" t="s">
        <v>2115</v>
      </c>
      <c r="O93" s="1996"/>
      <c r="P93" s="2011"/>
    </row>
    <row r="94" spans="1:16" s="362" customFormat="1" ht="3" customHeight="1">
      <c r="A94" s="620"/>
      <c r="B94" s="620"/>
      <c r="G94" s="380"/>
      <c r="H94" s="1139"/>
      <c r="I94" s="1139"/>
      <c r="M94" s="373"/>
    </row>
    <row r="95" spans="1:16" s="362" customFormat="1" ht="13.15" customHeight="1">
      <c r="A95" s="391" t="s">
        <v>383</v>
      </c>
      <c r="B95" s="1136" t="s">
        <v>1783</v>
      </c>
      <c r="D95" s="380"/>
      <c r="E95" s="380"/>
      <c r="F95" s="1139"/>
      <c r="G95" s="1139"/>
      <c r="H95" s="1139"/>
      <c r="I95" s="1139"/>
      <c r="J95" s="380"/>
      <c r="K95" s="1139"/>
      <c r="L95" s="1139"/>
      <c r="N95" s="1142"/>
      <c r="O95" s="1142"/>
      <c r="P95" s="373"/>
    </row>
    <row r="96" spans="1:16" s="362" customFormat="1" ht="3.6" customHeight="1">
      <c r="A96" s="391"/>
      <c r="B96" s="1136"/>
      <c r="D96" s="380"/>
      <c r="E96" s="380"/>
      <c r="F96" s="1139"/>
      <c r="G96" s="1139"/>
      <c r="H96" s="1139"/>
      <c r="I96" s="1139"/>
      <c r="J96" s="380"/>
      <c r="K96" s="1139"/>
      <c r="L96" s="1139"/>
      <c r="N96" s="1142"/>
      <c r="O96" s="1142"/>
      <c r="P96" s="373"/>
    </row>
    <row r="97" spans="1:16" s="362" customFormat="1" ht="13.15" customHeight="1">
      <c r="B97" s="387" t="s">
        <v>2292</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2119</v>
      </c>
      <c r="C99" s="1136" t="s">
        <v>1505</v>
      </c>
      <c r="D99" s="1133"/>
      <c r="E99" s="1133"/>
      <c r="F99" s="1139"/>
      <c r="G99" s="1139"/>
      <c r="H99" s="2012">
        <v>1</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2122</v>
      </c>
      <c r="C101" s="1136" t="s">
        <v>436</v>
      </c>
      <c r="D101" s="1133"/>
      <c r="E101" s="1133"/>
      <c r="F101" s="1139"/>
      <c r="G101" s="1139"/>
      <c r="H101" s="2013"/>
      <c r="J101" s="380"/>
      <c r="K101" s="1134"/>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800</v>
      </c>
      <c r="C103" s="1136" t="s">
        <v>319</v>
      </c>
      <c r="D103" s="1133"/>
      <c r="E103" s="1133"/>
      <c r="F103" s="1139"/>
      <c r="G103" s="1139"/>
      <c r="H103" s="1139"/>
      <c r="I103" s="1139"/>
      <c r="J103" s="380"/>
      <c r="K103" s="1139"/>
      <c r="L103" s="1139"/>
      <c r="N103" s="1142"/>
      <c r="O103" s="1142"/>
    </row>
    <row r="104" spans="1:16" s="362" customFormat="1" ht="13.15" customHeight="1">
      <c r="B104" s="620"/>
      <c r="C104" s="1133" t="s">
        <v>2274</v>
      </c>
      <c r="D104" s="1133"/>
      <c r="F104" s="1133" t="s">
        <v>1203</v>
      </c>
      <c r="G104" s="1139"/>
      <c r="H104" s="1139"/>
      <c r="I104" s="1139"/>
      <c r="J104" s="1133" t="s">
        <v>2274</v>
      </c>
      <c r="K104" s="1133"/>
      <c r="M104" s="1133" t="s">
        <v>1203</v>
      </c>
      <c r="N104" s="1139"/>
      <c r="O104" s="1139"/>
      <c r="P104" s="1139"/>
    </row>
    <row r="105" spans="1:16" s="362" customFormat="1" ht="13.15" customHeight="1">
      <c r="A105" s="620"/>
      <c r="B105" s="620"/>
      <c r="C105" s="2014">
        <v>1</v>
      </c>
      <c r="D105" s="2015"/>
      <c r="E105" s="2015"/>
      <c r="F105" s="2015"/>
      <c r="G105" s="2015"/>
      <c r="H105" s="2015"/>
      <c r="I105" s="2016"/>
      <c r="J105" s="2014">
        <v>6</v>
      </c>
      <c r="K105" s="2015"/>
      <c r="L105" s="2015"/>
      <c r="M105" s="2015"/>
      <c r="N105" s="2015"/>
      <c r="O105" s="2015"/>
      <c r="P105" s="2016"/>
    </row>
    <row r="106" spans="1:16" s="362" customFormat="1" ht="13.15" customHeight="1">
      <c r="A106" s="620"/>
      <c r="B106" s="620"/>
      <c r="C106" s="2017">
        <v>2</v>
      </c>
      <c r="D106" s="2018"/>
      <c r="E106" s="2018"/>
      <c r="F106" s="2018"/>
      <c r="G106" s="2018"/>
      <c r="H106" s="2018"/>
      <c r="I106" s="2019"/>
      <c r="J106" s="2017">
        <v>7</v>
      </c>
      <c r="K106" s="2018"/>
      <c r="L106" s="2018"/>
      <c r="M106" s="2018"/>
      <c r="N106" s="2018"/>
      <c r="O106" s="2018"/>
      <c r="P106" s="2019"/>
    </row>
    <row r="107" spans="1:16" s="362" customFormat="1" ht="13.15" customHeight="1">
      <c r="A107" s="620"/>
      <c r="B107" s="620"/>
      <c r="C107" s="2017">
        <v>3</v>
      </c>
      <c r="D107" s="2018"/>
      <c r="E107" s="2018"/>
      <c r="F107" s="2018"/>
      <c r="G107" s="2018"/>
      <c r="H107" s="2018"/>
      <c r="I107" s="2019"/>
      <c r="J107" s="2017">
        <v>8</v>
      </c>
      <c r="K107" s="2018"/>
      <c r="L107" s="2018"/>
      <c r="M107" s="2018"/>
      <c r="N107" s="2018"/>
      <c r="O107" s="2018"/>
      <c r="P107" s="2019"/>
    </row>
    <row r="108" spans="1:16" s="362" customFormat="1" ht="13.1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1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2254</v>
      </c>
      <c r="C111" s="1182" t="s">
        <v>1977</v>
      </c>
      <c r="D111" s="1182"/>
      <c r="E111" s="1182"/>
      <c r="F111" s="1182"/>
      <c r="G111" s="1182"/>
      <c r="H111" s="1182"/>
      <c r="I111" s="1182"/>
      <c r="J111" s="1182"/>
      <c r="K111" s="1182"/>
      <c r="L111" s="1182"/>
      <c r="M111" s="1182"/>
      <c r="N111" s="1182"/>
      <c r="O111" s="1182"/>
      <c r="P111" s="1182"/>
    </row>
    <row r="112" spans="1:16" s="362" customFormat="1" ht="13.1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15" customHeight="1">
      <c r="B113" s="620"/>
      <c r="C113" s="1133" t="s">
        <v>2274</v>
      </c>
      <c r="D113" s="1133"/>
      <c r="F113" s="1133" t="s">
        <v>1203</v>
      </c>
      <c r="G113" s="1139"/>
      <c r="H113" s="1139"/>
      <c r="I113" s="1139"/>
      <c r="J113" s="1133" t="s">
        <v>2274</v>
      </c>
      <c r="K113" s="1133"/>
      <c r="M113" s="1133" t="s">
        <v>1203</v>
      </c>
      <c r="N113" s="1139"/>
      <c r="O113" s="1139"/>
      <c r="P113" s="1139"/>
    </row>
    <row r="114" spans="1:16" s="362" customFormat="1" ht="13.1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20"/>
      <c r="B119" s="620"/>
      <c r="C119" s="1133"/>
      <c r="D119" s="1133"/>
      <c r="E119" s="1133"/>
      <c r="F119" s="1139"/>
      <c r="G119" s="1139"/>
      <c r="H119" s="1139"/>
      <c r="I119" s="1139"/>
      <c r="J119" s="380"/>
      <c r="K119" s="1139"/>
      <c r="L119" s="1139"/>
      <c r="N119" s="1142"/>
      <c r="O119" s="1142"/>
      <c r="P119" s="373"/>
    </row>
    <row r="120" spans="1:16" s="362" customFormat="1" ht="13.15" customHeight="1">
      <c r="A120" s="391" t="s">
        <v>384</v>
      </c>
      <c r="B120" s="388" t="s">
        <v>2583</v>
      </c>
      <c r="D120" s="388"/>
      <c r="E120" s="388"/>
      <c r="F120" s="388"/>
      <c r="H120" s="1964" t="s">
        <v>3705</v>
      </c>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15" customHeight="1">
      <c r="A122" s="620"/>
      <c r="B122" s="620" t="s">
        <v>2119</v>
      </c>
      <c r="C122" s="369" t="s">
        <v>1833</v>
      </c>
      <c r="H122" s="1964"/>
      <c r="M122" s="1139"/>
      <c r="N122" s="1142"/>
      <c r="O122" s="1142"/>
      <c r="P122" s="373"/>
    </row>
    <row r="123" spans="1:16" s="362" customFormat="1" ht="13.15" customHeight="1">
      <c r="A123" s="620"/>
      <c r="B123" s="620"/>
      <c r="C123" s="1133" t="s">
        <v>2585</v>
      </c>
      <c r="D123" s="1133"/>
      <c r="E123" s="1133"/>
      <c r="F123" s="1139"/>
      <c r="H123" s="2023"/>
      <c r="N123" s="1142"/>
      <c r="O123" s="1142"/>
      <c r="P123" s="373"/>
    </row>
    <row r="124" spans="1:16" s="362" customFormat="1" ht="13.15" customHeight="1">
      <c r="A124" s="620"/>
      <c r="B124" s="620"/>
      <c r="C124" s="396" t="s">
        <v>1832</v>
      </c>
      <c r="D124" s="368"/>
      <c r="H124" s="1950"/>
      <c r="I124" s="1952"/>
      <c r="P124" s="373"/>
    </row>
    <row r="125" spans="1:16" s="362" customFormat="1" ht="13.15" customHeight="1">
      <c r="A125" s="620"/>
      <c r="B125" s="620"/>
      <c r="C125" s="1133" t="s">
        <v>2586</v>
      </c>
      <c r="D125" s="1133"/>
      <c r="E125" s="1133"/>
      <c r="F125" s="1139"/>
      <c r="H125" s="2023"/>
      <c r="K125" s="332" t="s">
        <v>2394</v>
      </c>
      <c r="O125" s="1950" t="s">
        <v>515</v>
      </c>
      <c r="P125" s="1952"/>
    </row>
    <row r="126" spans="1:16" s="362" customFormat="1" ht="13.15" customHeight="1">
      <c r="A126" s="620"/>
      <c r="B126" s="620"/>
      <c r="C126" s="1133" t="s">
        <v>2584</v>
      </c>
      <c r="F126" s="1139"/>
      <c r="H126" s="2012"/>
      <c r="K126" s="332" t="s">
        <v>2395</v>
      </c>
      <c r="O126" s="1950" t="s">
        <v>515</v>
      </c>
      <c r="P126" s="1952"/>
    </row>
    <row r="127" spans="1:16" s="362" customFormat="1" ht="13.15" customHeight="1">
      <c r="A127" s="620"/>
      <c r="B127" s="620"/>
      <c r="C127" s="1133" t="s">
        <v>2306</v>
      </c>
      <c r="D127" s="1133"/>
      <c r="E127" s="1133"/>
      <c r="F127" s="1139"/>
      <c r="H127" s="2008"/>
      <c r="I127" s="2009"/>
      <c r="N127" s="1142"/>
      <c r="O127" s="1142"/>
      <c r="P127" s="373"/>
    </row>
    <row r="128" spans="1:16" s="362" customFormat="1" ht="3" customHeight="1">
      <c r="A128" s="620"/>
      <c r="B128" s="620"/>
      <c r="C128" s="1133"/>
      <c r="D128" s="1133"/>
      <c r="E128" s="1133"/>
      <c r="F128" s="1139"/>
      <c r="N128" s="1142"/>
      <c r="O128" s="1142"/>
      <c r="P128" s="373"/>
    </row>
    <row r="129" spans="1:16" s="362" customFormat="1" ht="13.15" customHeight="1">
      <c r="A129" s="620"/>
      <c r="B129" s="620" t="s">
        <v>2122</v>
      </c>
      <c r="C129" s="1136" t="s">
        <v>2659</v>
      </c>
      <c r="D129" s="1133"/>
      <c r="E129" s="1133"/>
      <c r="F129" s="1139"/>
      <c r="H129" s="2012" t="s">
        <v>3702</v>
      </c>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15" customHeight="1">
      <c r="A131" s="620"/>
      <c r="B131" s="620" t="s">
        <v>800</v>
      </c>
      <c r="C131" s="1136" t="s">
        <v>2935</v>
      </c>
      <c r="D131" s="1133"/>
      <c r="E131" s="1133"/>
      <c r="F131" s="1139"/>
      <c r="G131" s="1139"/>
      <c r="N131" s="1142"/>
      <c r="O131" s="1142"/>
      <c r="P131" s="373"/>
    </row>
    <row r="132" spans="1:16" s="362" customFormat="1" ht="13.15" customHeight="1">
      <c r="A132" s="620"/>
      <c r="B132" s="620"/>
      <c r="C132" s="1133" t="s">
        <v>769</v>
      </c>
      <c r="D132" s="1133"/>
      <c r="E132" s="1133"/>
      <c r="F132" s="1139"/>
      <c r="G132" s="1139"/>
      <c r="H132" s="2012"/>
      <c r="K132" s="1133" t="s">
        <v>1642</v>
      </c>
      <c r="L132" s="1133"/>
      <c r="M132" s="1139"/>
      <c r="N132" s="1139"/>
      <c r="O132" s="2012"/>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15" customHeight="1">
      <c r="A134" s="391" t="s">
        <v>1848</v>
      </c>
      <c r="B134" s="388" t="s">
        <v>1262</v>
      </c>
      <c r="D134" s="388"/>
      <c r="E134" s="388"/>
      <c r="F134" s="388"/>
      <c r="G134" s="1139"/>
      <c r="H134" s="1139"/>
      <c r="I134" s="1139"/>
      <c r="J134" s="380"/>
      <c r="K134" s="1139"/>
      <c r="L134" s="1139"/>
      <c r="N134" s="1142"/>
      <c r="O134" s="1142"/>
      <c r="P134" s="373"/>
    </row>
    <row r="135" spans="1:16" s="362" customFormat="1" ht="1.9" customHeight="1">
      <c r="A135" s="391"/>
      <c r="B135" s="620"/>
      <c r="C135" s="1136"/>
      <c r="D135" s="1136"/>
      <c r="E135" s="1136"/>
      <c r="F135" s="1136"/>
      <c r="G135" s="1139"/>
      <c r="H135" s="1139"/>
      <c r="I135" s="1139"/>
      <c r="J135" s="380"/>
      <c r="K135" s="1139"/>
      <c r="L135" s="1139"/>
      <c r="N135" s="1142"/>
      <c r="O135" s="1142"/>
    </row>
    <row r="136" spans="1:16" s="362" customFormat="1" ht="13.15" customHeight="1">
      <c r="A136" s="620"/>
      <c r="B136" s="620" t="s">
        <v>2119</v>
      </c>
      <c r="C136" s="379" t="s">
        <v>1951</v>
      </c>
      <c r="F136" s="1139"/>
      <c r="G136" s="1139"/>
      <c r="H136" s="1139"/>
      <c r="I136" s="1139"/>
      <c r="J136" s="380"/>
      <c r="K136" s="1139"/>
      <c r="L136" s="1139"/>
      <c r="N136" s="1142"/>
      <c r="O136" s="1142"/>
      <c r="P136" s="373"/>
    </row>
    <row r="137" spans="1:16" s="362" customFormat="1" ht="12.6" customHeight="1">
      <c r="A137" s="620"/>
      <c r="B137" s="620"/>
      <c r="C137" s="387" t="s">
        <v>1634</v>
      </c>
      <c r="D137" s="380"/>
      <c r="E137" s="380"/>
      <c r="F137" s="1139"/>
      <c r="G137" s="1139"/>
      <c r="H137" s="1139"/>
      <c r="I137" s="1139"/>
      <c r="K137" s="2012"/>
      <c r="N137" s="1142"/>
      <c r="O137" s="1142"/>
      <c r="P137" s="373"/>
    </row>
    <row r="138" spans="1:16" s="362" customFormat="1" ht="12.6" customHeight="1">
      <c r="A138" s="620"/>
      <c r="B138" s="620"/>
      <c r="C138" s="362" t="s">
        <v>657</v>
      </c>
      <c r="K138" s="2002"/>
      <c r="L138" s="368" t="s">
        <v>1920</v>
      </c>
      <c r="P138" s="397">
        <f>IF('Part VI-Revenues &amp; Expenses'!$M$60=0,0,K138/'Part VI-Revenues &amp; Expenses'!$M$60)</f>
        <v>0</v>
      </c>
    </row>
    <row r="139" spans="1:16" s="362" customFormat="1" ht="12.6" customHeight="1">
      <c r="A139" s="620"/>
      <c r="B139" s="620"/>
      <c r="C139" s="362" t="s">
        <v>2307</v>
      </c>
      <c r="K139" s="2002"/>
      <c r="L139" s="368" t="s">
        <v>1920</v>
      </c>
      <c r="P139" s="397">
        <f>IF('Part VI-Revenues &amp; Expenses'!$M$60=0,0,K139/'Part VI-Revenues &amp; Expenses'!$M$60)</f>
        <v>0</v>
      </c>
    </row>
    <row r="140" spans="1:16" s="362" customFormat="1" ht="12.6" customHeight="1">
      <c r="A140" s="620"/>
      <c r="B140" s="620"/>
      <c r="C140" s="362" t="s">
        <v>1921</v>
      </c>
      <c r="E140" s="1950"/>
      <c r="F140" s="1951"/>
      <c r="G140" s="1951"/>
      <c r="H140" s="1951"/>
      <c r="I140" s="1951"/>
      <c r="J140" s="1951"/>
      <c r="K140" s="1952"/>
      <c r="L140" s="398" t="s">
        <v>1922</v>
      </c>
      <c r="M140" s="1950"/>
      <c r="N140" s="1951"/>
      <c r="O140" s="1951"/>
      <c r="P140" s="1952"/>
    </row>
    <row r="141" spans="1:16" s="362" customFormat="1" ht="12.6" customHeight="1">
      <c r="A141" s="620"/>
      <c r="B141" s="620"/>
      <c r="C141" s="368" t="s">
        <v>1923</v>
      </c>
      <c r="D141" s="376"/>
      <c r="E141" s="1950"/>
      <c r="F141" s="1951"/>
      <c r="G141" s="1951"/>
      <c r="H141" s="1951"/>
      <c r="I141" s="1951"/>
      <c r="J141" s="1951"/>
      <c r="K141" s="2024"/>
      <c r="L141" s="1134" t="s">
        <v>1925</v>
      </c>
      <c r="M141" s="1965"/>
      <c r="N141" s="1966"/>
      <c r="O141" s="1966"/>
      <c r="P141" s="1967"/>
    </row>
    <row r="142" spans="1:16" s="362" customFormat="1" ht="12.6" customHeight="1">
      <c r="A142" s="620"/>
      <c r="B142" s="620"/>
      <c r="C142" s="368" t="s">
        <v>660</v>
      </c>
      <c r="E142" s="1950"/>
      <c r="F142" s="1951"/>
      <c r="G142" s="1951"/>
      <c r="H142" s="1952"/>
      <c r="I142" s="393" t="s">
        <v>2376</v>
      </c>
      <c r="J142" s="1961"/>
      <c r="K142" s="1962"/>
      <c r="L142" s="398" t="s">
        <v>1928</v>
      </c>
      <c r="M142" s="1958"/>
      <c r="N142" s="1963"/>
      <c r="O142" s="1959"/>
    </row>
    <row r="143" spans="1:16" s="362" customFormat="1" ht="12.6" customHeight="1">
      <c r="A143" s="620"/>
      <c r="B143" s="620"/>
      <c r="C143" s="368" t="s">
        <v>1926</v>
      </c>
      <c r="E143" s="1958"/>
      <c r="F143" s="1963"/>
      <c r="G143" s="1959"/>
      <c r="H143" s="399" t="s">
        <v>1927</v>
      </c>
      <c r="I143" s="1958"/>
      <c r="J143" s="1963"/>
      <c r="K143" s="1959"/>
      <c r="L143" s="1138" t="s">
        <v>2115</v>
      </c>
      <c r="M143" s="1958"/>
      <c r="N143" s="1963"/>
      <c r="O143" s="1959"/>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6" customHeight="1">
      <c r="A145" s="620"/>
      <c r="B145" s="620" t="s">
        <v>2122</v>
      </c>
      <c r="C145" s="1136" t="s">
        <v>2943</v>
      </c>
      <c r="D145" s="1136"/>
      <c r="E145" s="1136"/>
      <c r="F145" s="1136"/>
      <c r="G145" s="1136"/>
      <c r="I145" s="2012" t="s">
        <v>3702</v>
      </c>
      <c r="J145" s="1207" t="s">
        <v>813</v>
      </c>
      <c r="K145" s="1208"/>
      <c r="L145" s="2012"/>
      <c r="M145" s="1204" t="s">
        <v>2476</v>
      </c>
      <c r="N145" s="1205"/>
      <c r="O145" s="1206"/>
      <c r="P145" s="2023"/>
    </row>
    <row r="146" spans="1:16" s="362" customFormat="1" ht="6" customHeight="1">
      <c r="A146" s="620"/>
      <c r="B146" s="620"/>
      <c r="C146" s="1136"/>
      <c r="D146" s="1136"/>
      <c r="E146" s="365"/>
      <c r="F146" s="1136"/>
      <c r="G146" s="1136"/>
      <c r="J146" s="372"/>
      <c r="K146" s="401"/>
      <c r="M146" s="1142"/>
      <c r="O146" s="1139"/>
      <c r="P146" s="373"/>
    </row>
    <row r="147" spans="1:16" s="362" customFormat="1" ht="12.6" customHeight="1">
      <c r="A147" s="620"/>
      <c r="B147" s="620"/>
      <c r="C147" s="1136" t="s">
        <v>2944</v>
      </c>
      <c r="D147" s="1136"/>
      <c r="E147" s="1136"/>
      <c r="F147" s="1136"/>
      <c r="G147" s="1136"/>
      <c r="I147" s="2012" t="s">
        <v>3702</v>
      </c>
      <c r="J147" s="1207" t="s">
        <v>813</v>
      </c>
      <c r="K147" s="1208"/>
      <c r="L147" s="2012"/>
      <c r="M147" s="1204" t="s">
        <v>2476</v>
      </c>
      <c r="N147" s="1205"/>
      <c r="O147" s="1206"/>
      <c r="P147" s="2023"/>
    </row>
    <row r="148" spans="1:16" s="362" customFormat="1" ht="6" customHeight="1">
      <c r="A148" s="620"/>
      <c r="B148" s="620"/>
      <c r="C148" s="1136"/>
      <c r="D148" s="1136"/>
      <c r="E148" s="365"/>
      <c r="F148" s="1136"/>
      <c r="G148" s="1136"/>
      <c r="J148" s="372"/>
      <c r="K148" s="401"/>
      <c r="M148" s="1142"/>
      <c r="O148" s="1139"/>
      <c r="P148" s="373"/>
    </row>
    <row r="149" spans="1:16" s="362" customFormat="1" ht="12.6" customHeight="1">
      <c r="A149" s="620"/>
      <c r="B149" s="620" t="s">
        <v>800</v>
      </c>
      <c r="C149" s="1136" t="s">
        <v>1881</v>
      </c>
      <c r="D149" s="1136"/>
      <c r="E149" s="1136"/>
      <c r="F149" s="1136"/>
      <c r="G149" s="1136"/>
      <c r="I149" s="2012" t="s">
        <v>3702</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6" customHeight="1">
      <c r="A151" s="620"/>
      <c r="B151" s="620" t="s">
        <v>2254</v>
      </c>
      <c r="C151" s="1191" t="s">
        <v>2114</v>
      </c>
      <c r="D151" s="1191"/>
      <c r="E151" s="1191"/>
      <c r="F151" s="1191"/>
      <c r="G151" s="1136"/>
      <c r="I151" s="2012" t="s">
        <v>3705</v>
      </c>
      <c r="J151" s="403" t="s">
        <v>3136</v>
      </c>
      <c r="L151" s="1190" t="s">
        <v>1575</v>
      </c>
      <c r="M151" s="1190"/>
      <c r="N151" s="1136"/>
      <c r="O151" s="1136"/>
      <c r="P151" s="2025">
        <v>132</v>
      </c>
    </row>
    <row r="152" spans="1:16" s="362" customFormat="1" ht="12.6" customHeight="1">
      <c r="B152" s="620"/>
      <c r="L152" s="1184" t="s">
        <v>852</v>
      </c>
      <c r="M152" s="1184"/>
      <c r="N152" s="1136"/>
      <c r="O152" s="1136"/>
      <c r="P152" s="2025">
        <v>101</v>
      </c>
    </row>
    <row r="153" spans="1:16" s="362" customFormat="1" ht="12.6" customHeight="1">
      <c r="A153" s="620"/>
      <c r="B153" s="620"/>
      <c r="L153" s="1184" t="s">
        <v>1916</v>
      </c>
      <c r="M153" s="1184"/>
      <c r="N153" s="1136"/>
      <c r="O153" s="1136"/>
      <c r="P153" s="402">
        <f>IF(P151="","",P152/P151)</f>
        <v>0.76515151515151514</v>
      </c>
    </row>
    <row r="154" spans="1:16" s="362" customFormat="1" ht="13.15" customHeight="1">
      <c r="A154" s="620"/>
      <c r="B154" s="620" t="s">
        <v>1858</v>
      </c>
      <c r="C154" s="329" t="s">
        <v>1719</v>
      </c>
      <c r="D154" s="1133"/>
      <c r="E154" s="1133"/>
      <c r="F154" s="1133"/>
      <c r="G154" s="1133"/>
      <c r="H154" s="1139"/>
      <c r="J154" s="372"/>
      <c r="K154" s="380"/>
      <c r="M154" s="1142"/>
      <c r="O154" s="1139"/>
      <c r="P154" s="373"/>
    </row>
    <row r="155" spans="1:16" s="362" customFormat="1" ht="12.6" customHeight="1">
      <c r="A155" s="620"/>
      <c r="B155" s="620"/>
      <c r="C155" s="1142" t="s">
        <v>2356</v>
      </c>
      <c r="D155" s="374"/>
      <c r="E155" s="1142"/>
      <c r="F155" s="1142"/>
      <c r="I155" s="2012" t="s">
        <v>3702</v>
      </c>
      <c r="L155" s="1142" t="s">
        <v>3262</v>
      </c>
      <c r="M155" s="1142"/>
      <c r="P155" s="2012" t="s">
        <v>3702</v>
      </c>
    </row>
    <row r="156" spans="1:16" s="362" customFormat="1" ht="12.6" customHeight="1">
      <c r="A156" s="620"/>
      <c r="B156" s="620"/>
      <c r="C156" s="1142" t="s">
        <v>2358</v>
      </c>
      <c r="I156" s="2012" t="s">
        <v>3705</v>
      </c>
      <c r="L156" s="1142" t="s">
        <v>1720</v>
      </c>
      <c r="M156" s="1142"/>
      <c r="N156" s="1142"/>
      <c r="P156" s="2012" t="s">
        <v>3705</v>
      </c>
    </row>
    <row r="157" spans="1:16" s="362" customFormat="1" ht="12.6" customHeight="1">
      <c r="A157" s="620"/>
      <c r="C157" s="1142" t="s">
        <v>2978</v>
      </c>
      <c r="I157" s="2012" t="s">
        <v>3702</v>
      </c>
      <c r="L157" s="1142" t="s">
        <v>3408</v>
      </c>
      <c r="M157" s="1142"/>
      <c r="N157" s="1142"/>
      <c r="P157" s="2012" t="s">
        <v>3702</v>
      </c>
    </row>
    <row r="158" spans="1:16" s="362" customFormat="1" ht="12.6" customHeight="1">
      <c r="A158" s="620"/>
      <c r="B158" s="620"/>
      <c r="C158" s="1142" t="s">
        <v>1369</v>
      </c>
      <c r="D158" s="404"/>
      <c r="I158" s="2012" t="s">
        <v>3702</v>
      </c>
      <c r="K158" s="374"/>
      <c r="L158" s="1142" t="s">
        <v>2921</v>
      </c>
      <c r="N158" s="2026"/>
      <c r="O158" s="2027"/>
      <c r="P158" s="2012" t="s">
        <v>3702</v>
      </c>
    </row>
    <row r="159" spans="1:16" s="362" customFormat="1" ht="12.6" customHeight="1">
      <c r="A159" s="620"/>
      <c r="B159" s="365"/>
      <c r="C159" s="1142" t="s">
        <v>1935</v>
      </c>
      <c r="I159" s="2012" t="s">
        <v>3702</v>
      </c>
      <c r="J159" s="403" t="s">
        <v>3137</v>
      </c>
      <c r="O159" s="2028"/>
      <c r="P159" s="2029"/>
    </row>
    <row r="160" spans="1:16" s="362" customFormat="1" ht="12.6" customHeight="1">
      <c r="A160" s="620"/>
      <c r="B160" s="620"/>
      <c r="C160" s="1142" t="s">
        <v>3578</v>
      </c>
      <c r="I160" s="2012" t="s">
        <v>3702</v>
      </c>
      <c r="J160" s="403" t="s">
        <v>3137</v>
      </c>
      <c r="O160" s="2028"/>
      <c r="P160" s="2029"/>
    </row>
    <row r="161" spans="1:21" s="362" customFormat="1" ht="12.6" customHeight="1">
      <c r="A161" s="620"/>
      <c r="B161" s="620"/>
      <c r="C161" s="1142" t="s">
        <v>3579</v>
      </c>
      <c r="I161" s="2012" t="s">
        <v>3702</v>
      </c>
      <c r="J161" s="403" t="s">
        <v>3137</v>
      </c>
      <c r="O161" s="2028"/>
      <c r="P161" s="2029"/>
    </row>
    <row r="162" spans="1:21" s="362" customFormat="1" ht="3" customHeight="1">
      <c r="A162" s="620"/>
      <c r="B162" s="620"/>
      <c r="P162" s="372"/>
    </row>
    <row r="163" spans="1:21" s="362" customFormat="1" ht="13.15" customHeight="1">
      <c r="B163" s="620" t="s">
        <v>1859</v>
      </c>
      <c r="C163" s="369" t="s">
        <v>790</v>
      </c>
    </row>
    <row r="164" spans="1:21" s="362" customFormat="1" ht="12.6" customHeight="1">
      <c r="A164" s="620"/>
      <c r="B164" s="620"/>
      <c r="C164" s="368" t="s">
        <v>681</v>
      </c>
      <c r="D164" s="1133"/>
      <c r="E164" s="1133"/>
      <c r="F164" s="1139"/>
      <c r="G164" s="1139"/>
      <c r="H164" s="2008"/>
      <c r="I164" s="2009"/>
      <c r="N164" s="1142"/>
      <c r="O164" s="1142"/>
      <c r="P164" s="373"/>
    </row>
    <row r="165" spans="1:21" s="362" customFormat="1" ht="12.6" customHeight="1">
      <c r="A165" s="620"/>
      <c r="B165" s="620"/>
      <c r="C165" s="368" t="s">
        <v>292</v>
      </c>
      <c r="D165" s="1133"/>
      <c r="E165" s="1133"/>
      <c r="F165" s="1139"/>
      <c r="G165" s="1139"/>
      <c r="H165" s="2008">
        <v>42461</v>
      </c>
      <c r="I165" s="2009"/>
      <c r="N165" s="1142"/>
      <c r="O165" s="1142"/>
      <c r="P165" s="373"/>
    </row>
    <row r="166" spans="1:21" s="362" customFormat="1" ht="12.6" customHeight="1">
      <c r="A166" s="620"/>
      <c r="B166" s="620"/>
      <c r="C166" s="368" t="s">
        <v>2445</v>
      </c>
      <c r="D166" s="1133"/>
      <c r="E166" s="1133"/>
      <c r="F166" s="1139"/>
      <c r="G166" s="1139"/>
      <c r="H166" s="2008"/>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609</v>
      </c>
      <c r="K168" s="391" t="s">
        <v>2400</v>
      </c>
      <c r="L168" s="391" t="s">
        <v>82</v>
      </c>
    </row>
    <row r="169" spans="1:21" ht="106.5" customHeight="1">
      <c r="A169" s="1796" t="s">
        <v>3785</v>
      </c>
      <c r="B169" s="1797"/>
      <c r="C169" s="1797"/>
      <c r="D169" s="1797"/>
      <c r="E169" s="1797"/>
      <c r="F169" s="1797"/>
      <c r="G169" s="1797"/>
      <c r="H169" s="1797"/>
      <c r="I169" s="1797"/>
      <c r="J169" s="1798"/>
      <c r="K169" s="1799"/>
      <c r="L169" s="1800"/>
      <c r="M169" s="1800"/>
      <c r="N169" s="1800"/>
      <c r="O169" s="1800"/>
      <c r="P169" s="1801"/>
      <c r="Q169" s="1181" t="s">
        <v>2925</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1924</v>
      </c>
      <c r="C178" s="738" t="s">
        <v>1285</v>
      </c>
      <c r="D178" s="738" t="s">
        <v>1286</v>
      </c>
      <c r="E178" s="739" t="s">
        <v>1287</v>
      </c>
      <c r="F178" s="739" t="s">
        <v>1220</v>
      </c>
      <c r="G178" s="738" t="s">
        <v>445</v>
      </c>
      <c r="H178" s="740" t="s">
        <v>1228</v>
      </c>
      <c r="I178" s="740" t="s">
        <v>3211</v>
      </c>
      <c r="J178" s="738" t="s">
        <v>2562</v>
      </c>
      <c r="K178" s="738"/>
      <c r="L178" s="729"/>
      <c r="M178" s="730"/>
      <c r="N178" s="741" t="s">
        <v>660</v>
      </c>
      <c r="O178" s="720" t="s">
        <v>661</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893</v>
      </c>
      <c r="C179" s="707" t="s">
        <v>1288</v>
      </c>
      <c r="D179" s="707" t="s">
        <v>1289</v>
      </c>
      <c r="E179" s="742" t="s">
        <v>1290</v>
      </c>
      <c r="F179" s="742" t="s">
        <v>2796</v>
      </c>
      <c r="G179" s="743" t="s">
        <v>1229</v>
      </c>
      <c r="H179" s="744" t="s">
        <v>443</v>
      </c>
      <c r="I179" s="2030" t="s">
        <v>2782</v>
      </c>
      <c r="J179" s="731" t="s">
        <v>1629</v>
      </c>
      <c r="K179" s="732"/>
      <c r="L179" s="729"/>
      <c r="M179" s="730"/>
      <c r="N179" s="1179" t="s">
        <v>2563</v>
      </c>
      <c r="O179" s="1179" t="s">
        <v>2086</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894</v>
      </c>
      <c r="C180" s="707" t="s">
        <v>1902</v>
      </c>
      <c r="D180" s="707" t="s">
        <v>1289</v>
      </c>
      <c r="E180" s="742" t="s">
        <v>1903</v>
      </c>
      <c r="F180" s="742" t="s">
        <v>2796</v>
      </c>
      <c r="G180" s="743" t="s">
        <v>1230</v>
      </c>
      <c r="H180" s="744" t="s">
        <v>443</v>
      </c>
      <c r="I180" s="2030" t="s">
        <v>2782</v>
      </c>
      <c r="J180" s="731" t="s">
        <v>1631</v>
      </c>
      <c r="K180" s="732"/>
      <c r="L180" s="729"/>
      <c r="M180" s="730"/>
      <c r="N180" s="1179" t="s">
        <v>1630</v>
      </c>
      <c r="O180" s="1179" t="s">
        <v>2655</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895</v>
      </c>
      <c r="C181" s="707" t="s">
        <v>1904</v>
      </c>
      <c r="D181" s="707" t="s">
        <v>1289</v>
      </c>
      <c r="E181" s="742" t="s">
        <v>1905</v>
      </c>
      <c r="F181" s="742" t="s">
        <v>2796</v>
      </c>
      <c r="G181" s="743" t="s">
        <v>1231</v>
      </c>
      <c r="H181" s="744" t="s">
        <v>443</v>
      </c>
      <c r="I181" s="2030" t="s">
        <v>2782</v>
      </c>
      <c r="J181" s="731" t="s">
        <v>487</v>
      </c>
      <c r="K181" s="732"/>
      <c r="L181" s="729"/>
      <c r="M181" s="730"/>
      <c r="N181" s="1179" t="s">
        <v>1002</v>
      </c>
      <c r="O181" s="1179" t="s">
        <v>1401</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896</v>
      </c>
      <c r="C182" s="707" t="s">
        <v>1906</v>
      </c>
      <c r="D182" s="707" t="s">
        <v>1289</v>
      </c>
      <c r="E182" s="745" t="s">
        <v>1907</v>
      </c>
      <c r="F182" s="745" t="s">
        <v>2797</v>
      </c>
      <c r="G182" s="743" t="s">
        <v>1232</v>
      </c>
      <c r="H182" s="744" t="s">
        <v>444</v>
      </c>
      <c r="I182" s="2031" t="s">
        <v>2782</v>
      </c>
      <c r="J182" s="731" t="s">
        <v>2219</v>
      </c>
      <c r="K182" s="732"/>
      <c r="L182" s="729"/>
      <c r="M182" s="730"/>
      <c r="N182" s="1179" t="s">
        <v>488</v>
      </c>
      <c r="O182" s="1179" t="s">
        <v>2703</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897</v>
      </c>
      <c r="C183" s="707" t="s">
        <v>1908</v>
      </c>
      <c r="D183" s="707" t="s">
        <v>1422</v>
      </c>
      <c r="E183" s="745" t="s">
        <v>164</v>
      </c>
      <c r="F183" s="745" t="s">
        <v>2796</v>
      </c>
      <c r="G183" s="743" t="s">
        <v>1233</v>
      </c>
      <c r="H183" s="744" t="s">
        <v>443</v>
      </c>
      <c r="I183" s="2030" t="s">
        <v>2782</v>
      </c>
      <c r="J183" s="731" t="s">
        <v>2221</v>
      </c>
      <c r="K183" s="732"/>
      <c r="L183" s="729"/>
      <c r="M183" s="730"/>
      <c r="N183" s="1179" t="s">
        <v>2220</v>
      </c>
      <c r="O183" s="1179" t="s">
        <v>351</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898</v>
      </c>
      <c r="C184" s="707" t="s">
        <v>1397</v>
      </c>
      <c r="D184" s="707" t="s">
        <v>1398</v>
      </c>
      <c r="E184" s="742" t="s">
        <v>1399</v>
      </c>
      <c r="F184" s="742" t="s">
        <v>2796</v>
      </c>
      <c r="G184" s="743" t="s">
        <v>1952</v>
      </c>
      <c r="H184" s="744" t="s">
        <v>443</v>
      </c>
      <c r="I184" s="2030" t="s">
        <v>2782</v>
      </c>
      <c r="J184" s="731" t="s">
        <v>2223</v>
      </c>
      <c r="K184" s="732"/>
      <c r="L184" s="729"/>
      <c r="M184" s="730"/>
      <c r="N184" s="1179" t="s">
        <v>2222</v>
      </c>
      <c r="O184" s="1179" t="s">
        <v>192</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899</v>
      </c>
      <c r="C185" s="707" t="s">
        <v>1400</v>
      </c>
      <c r="D185" s="707" t="s">
        <v>1422</v>
      </c>
      <c r="E185" s="745" t="s">
        <v>816</v>
      </c>
      <c r="F185" s="745" t="s">
        <v>2797</v>
      </c>
      <c r="G185" s="743" t="s">
        <v>2759</v>
      </c>
      <c r="H185" s="744" t="s">
        <v>444</v>
      </c>
      <c r="I185" s="2030" t="s">
        <v>1269</v>
      </c>
      <c r="J185" s="731" t="s">
        <v>2225</v>
      </c>
      <c r="K185" s="732"/>
      <c r="L185" s="729"/>
      <c r="M185" s="730"/>
      <c r="N185" s="1179" t="s">
        <v>2224</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900</v>
      </c>
      <c r="C186" s="707" t="s">
        <v>1401</v>
      </c>
      <c r="D186" s="707" t="s">
        <v>1398</v>
      </c>
      <c r="E186" s="745" t="s">
        <v>816</v>
      </c>
      <c r="F186" s="745" t="s">
        <v>2797</v>
      </c>
      <c r="G186" s="743" t="s">
        <v>2759</v>
      </c>
      <c r="H186" s="744" t="s">
        <v>444</v>
      </c>
      <c r="I186" s="2030" t="s">
        <v>1269</v>
      </c>
      <c r="J186" s="731" t="s">
        <v>2227</v>
      </c>
      <c r="K186" s="732"/>
      <c r="L186" s="729"/>
      <c r="M186" s="730"/>
      <c r="N186" s="1179" t="s">
        <v>2226</v>
      </c>
      <c r="O186" s="1179" t="s">
        <v>1404</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901</v>
      </c>
      <c r="C187" s="707" t="s">
        <v>1402</v>
      </c>
      <c r="D187" s="707" t="s">
        <v>1289</v>
      </c>
      <c r="E187" s="742" t="s">
        <v>1403</v>
      </c>
      <c r="F187" s="742" t="s">
        <v>2796</v>
      </c>
      <c r="G187" s="743" t="s">
        <v>2760</v>
      </c>
      <c r="H187" s="744" t="s">
        <v>443</v>
      </c>
      <c r="I187" s="2030" t="s">
        <v>2782</v>
      </c>
      <c r="J187" s="731" t="s">
        <v>2098</v>
      </c>
      <c r="K187" s="709"/>
      <c r="L187" s="729"/>
      <c r="M187" s="730"/>
      <c r="N187" s="1179" t="s">
        <v>1907</v>
      </c>
      <c r="O187" s="1179" t="s">
        <v>1013</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902</v>
      </c>
      <c r="C188" s="707" t="s">
        <v>1404</v>
      </c>
      <c r="D188" s="707" t="s">
        <v>1289</v>
      </c>
      <c r="E188" s="742" t="s">
        <v>1405</v>
      </c>
      <c r="F188" s="742" t="s">
        <v>2796</v>
      </c>
      <c r="G188" s="743" t="s">
        <v>2761</v>
      </c>
      <c r="H188" s="744" t="s">
        <v>443</v>
      </c>
      <c r="I188" s="2030" t="s">
        <v>2782</v>
      </c>
      <c r="J188" s="731" t="s">
        <v>188</v>
      </c>
      <c r="K188" s="709"/>
      <c r="L188" s="707"/>
      <c r="M188" s="730"/>
      <c r="N188" s="1179" t="s">
        <v>2099</v>
      </c>
      <c r="O188" s="1179" t="s">
        <v>451</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903</v>
      </c>
      <c r="C189" s="707" t="s">
        <v>1406</v>
      </c>
      <c r="D189" s="707" t="s">
        <v>1422</v>
      </c>
      <c r="E189" s="745" t="s">
        <v>1407</v>
      </c>
      <c r="F189" s="745" t="s">
        <v>2797</v>
      </c>
      <c r="G189" s="743" t="s">
        <v>2762</v>
      </c>
      <c r="H189" s="744" t="s">
        <v>444</v>
      </c>
      <c r="I189" s="2030" t="s">
        <v>1269</v>
      </c>
      <c r="J189" s="731" t="s">
        <v>190</v>
      </c>
      <c r="K189" s="709"/>
      <c r="L189" s="729"/>
      <c r="M189" s="730"/>
      <c r="N189" s="1179" t="s">
        <v>189</v>
      </c>
      <c r="O189" s="1179" t="s">
        <v>1553</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904</v>
      </c>
      <c r="C190" s="707" t="s">
        <v>1408</v>
      </c>
      <c r="D190" s="707" t="s">
        <v>1289</v>
      </c>
      <c r="E190" s="745" t="s">
        <v>1409</v>
      </c>
      <c r="F190" s="745" t="s">
        <v>2796</v>
      </c>
      <c r="G190" s="743" t="s">
        <v>2763</v>
      </c>
      <c r="H190" s="744" t="s">
        <v>443</v>
      </c>
      <c r="I190" s="2030" t="s">
        <v>2782</v>
      </c>
      <c r="J190" s="731" t="s">
        <v>468</v>
      </c>
      <c r="K190" s="732"/>
      <c r="L190" s="729"/>
      <c r="M190" s="730"/>
      <c r="N190" s="1179" t="s">
        <v>191</v>
      </c>
      <c r="O190" s="1179" t="s">
        <v>2559</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905</v>
      </c>
      <c r="C191" s="707" t="s">
        <v>1410</v>
      </c>
      <c r="D191" s="707" t="s">
        <v>1289</v>
      </c>
      <c r="E191" s="742" t="s">
        <v>12</v>
      </c>
      <c r="F191" s="742" t="s">
        <v>2797</v>
      </c>
      <c r="G191" s="743" t="s">
        <v>2764</v>
      </c>
      <c r="H191" s="744" t="s">
        <v>444</v>
      </c>
      <c r="I191" s="2031" t="s">
        <v>2782</v>
      </c>
      <c r="J191" s="731" t="s">
        <v>470</v>
      </c>
      <c r="K191" s="732"/>
      <c r="L191" s="729"/>
      <c r="M191" s="730"/>
      <c r="N191" s="1179" t="s">
        <v>469</v>
      </c>
      <c r="O191" s="1179" t="s">
        <v>1904</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906</v>
      </c>
      <c r="C192" s="707" t="s">
        <v>1411</v>
      </c>
      <c r="D192" s="707" t="s">
        <v>1289</v>
      </c>
      <c r="E192" s="742" t="s">
        <v>1816</v>
      </c>
      <c r="F192" s="742" t="s">
        <v>2797</v>
      </c>
      <c r="G192" s="743" t="s">
        <v>2765</v>
      </c>
      <c r="H192" s="744" t="s">
        <v>444</v>
      </c>
      <c r="I192" s="2031" t="s">
        <v>2782</v>
      </c>
      <c r="J192" s="731" t="s">
        <v>472</v>
      </c>
      <c r="K192" s="732"/>
      <c r="L192" s="729"/>
      <c r="M192" s="730"/>
      <c r="N192" s="1179" t="s">
        <v>471</v>
      </c>
      <c r="O192" s="1179" t="s">
        <v>1284</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907</v>
      </c>
      <c r="C193" s="707" t="s">
        <v>1412</v>
      </c>
      <c r="D193" s="707" t="s">
        <v>1289</v>
      </c>
      <c r="E193" s="745" t="s">
        <v>1413</v>
      </c>
      <c r="F193" s="745" t="s">
        <v>2797</v>
      </c>
      <c r="G193" s="743" t="s">
        <v>1560</v>
      </c>
      <c r="H193" s="744" t="s">
        <v>444</v>
      </c>
      <c r="I193" s="2031" t="s">
        <v>2782</v>
      </c>
      <c r="J193" s="731" t="s">
        <v>474</v>
      </c>
      <c r="K193" s="732"/>
      <c r="L193" s="729"/>
      <c r="M193" s="730"/>
      <c r="N193" s="1179" t="s">
        <v>473</v>
      </c>
      <c r="O193" s="1179" t="s">
        <v>192</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908</v>
      </c>
      <c r="C194" s="707" t="s">
        <v>1414</v>
      </c>
      <c r="D194" s="707" t="s">
        <v>1289</v>
      </c>
      <c r="E194" s="745" t="s">
        <v>1415</v>
      </c>
      <c r="F194" s="745" t="s">
        <v>2796</v>
      </c>
      <c r="G194" s="743" t="s">
        <v>2780</v>
      </c>
      <c r="H194" s="744" t="s">
        <v>443</v>
      </c>
      <c r="I194" s="2030" t="s">
        <v>2782</v>
      </c>
      <c r="J194" s="731" t="s">
        <v>2411</v>
      </c>
      <c r="K194" s="732"/>
      <c r="L194" s="729"/>
      <c r="M194" s="730"/>
      <c r="N194" s="1179" t="s">
        <v>475</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909</v>
      </c>
      <c r="C195" s="707" t="s">
        <v>1416</v>
      </c>
      <c r="D195" s="707" t="s">
        <v>1422</v>
      </c>
      <c r="E195" s="745" t="s">
        <v>817</v>
      </c>
      <c r="F195" s="745" t="s">
        <v>2797</v>
      </c>
      <c r="G195" s="743" t="s">
        <v>2781</v>
      </c>
      <c r="H195" s="744" t="s">
        <v>444</v>
      </c>
      <c r="I195" s="2031" t="s">
        <v>2782</v>
      </c>
      <c r="J195" s="731" t="s">
        <v>2413</v>
      </c>
      <c r="K195" s="732"/>
      <c r="L195" s="729"/>
      <c r="M195" s="730"/>
      <c r="N195" s="1179" t="s">
        <v>2412</v>
      </c>
      <c r="O195" s="1179" t="s">
        <v>2656</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910</v>
      </c>
      <c r="C196" s="707" t="s">
        <v>1418</v>
      </c>
      <c r="D196" s="707" t="s">
        <v>1422</v>
      </c>
      <c r="E196" s="745" t="s">
        <v>1100</v>
      </c>
      <c r="F196" s="745" t="s">
        <v>2797</v>
      </c>
      <c r="G196" s="743" t="s">
        <v>1338</v>
      </c>
      <c r="H196" s="744" t="s">
        <v>444</v>
      </c>
      <c r="I196" s="2031" t="s">
        <v>2782</v>
      </c>
      <c r="J196" s="731" t="s">
        <v>388</v>
      </c>
      <c r="K196" s="732"/>
      <c r="L196" s="729"/>
      <c r="M196" s="730"/>
      <c r="N196" s="1179" t="s">
        <v>1978</v>
      </c>
      <c r="O196" s="1179" t="s">
        <v>2318</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911</v>
      </c>
      <c r="C197" s="707" t="s">
        <v>1419</v>
      </c>
      <c r="D197" s="707" t="s">
        <v>1289</v>
      </c>
      <c r="E197" s="742" t="s">
        <v>1420</v>
      </c>
      <c r="F197" s="742" t="s">
        <v>2796</v>
      </c>
      <c r="G197" s="743" t="s">
        <v>1339</v>
      </c>
      <c r="H197" s="744" t="s">
        <v>443</v>
      </c>
      <c r="I197" s="2030" t="s">
        <v>2782</v>
      </c>
      <c r="J197" s="731" t="s">
        <v>390</v>
      </c>
      <c r="K197" s="732"/>
      <c r="L197" s="729"/>
      <c r="M197" s="730"/>
      <c r="N197" s="1179" t="s">
        <v>389</v>
      </c>
      <c r="O197" s="1179" t="s">
        <v>2318</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912</v>
      </c>
      <c r="C198" s="707" t="s">
        <v>1421</v>
      </c>
      <c r="D198" s="707" t="s">
        <v>1289</v>
      </c>
      <c r="E198" s="745" t="s">
        <v>781</v>
      </c>
      <c r="F198" s="745" t="s">
        <v>2796</v>
      </c>
      <c r="G198" s="743" t="s">
        <v>1340</v>
      </c>
      <c r="H198" s="744" t="s">
        <v>443</v>
      </c>
      <c r="I198" s="2030" t="s">
        <v>2782</v>
      </c>
      <c r="J198" s="731" t="s">
        <v>2728</v>
      </c>
      <c r="K198" s="732"/>
      <c r="L198" s="729"/>
      <c r="M198" s="730"/>
      <c r="N198" s="1179" t="s">
        <v>1288</v>
      </c>
      <c r="O198" s="1179" t="s">
        <v>2702</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913</v>
      </c>
      <c r="C199" s="707" t="s">
        <v>782</v>
      </c>
      <c r="D199" s="707" t="s">
        <v>1289</v>
      </c>
      <c r="E199" s="742" t="s">
        <v>783</v>
      </c>
      <c r="F199" s="742" t="s">
        <v>2796</v>
      </c>
      <c r="G199" s="743" t="s">
        <v>1831</v>
      </c>
      <c r="H199" s="744" t="s">
        <v>443</v>
      </c>
      <c r="I199" s="2030" t="s">
        <v>2782</v>
      </c>
      <c r="J199" s="731" t="s">
        <v>2730</v>
      </c>
      <c r="K199" s="732"/>
      <c r="L199" s="729"/>
      <c r="M199" s="730"/>
      <c r="N199" s="1179" t="s">
        <v>2729</v>
      </c>
      <c r="O199" s="1179" t="s">
        <v>2707</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914</v>
      </c>
      <c r="C200" s="707" t="s">
        <v>784</v>
      </c>
      <c r="D200" s="707" t="s">
        <v>1422</v>
      </c>
      <c r="E200" s="745" t="s">
        <v>816</v>
      </c>
      <c r="F200" s="745" t="s">
        <v>2797</v>
      </c>
      <c r="G200" s="743" t="s">
        <v>2759</v>
      </c>
      <c r="H200" s="744" t="s">
        <v>444</v>
      </c>
      <c r="I200" s="2030" t="s">
        <v>1269</v>
      </c>
      <c r="J200" s="731" t="s">
        <v>2732</v>
      </c>
      <c r="K200" s="732"/>
      <c r="L200" s="729"/>
      <c r="M200" s="730"/>
      <c r="N200" s="1179" t="s">
        <v>2731</v>
      </c>
      <c r="O200" s="1179" t="s">
        <v>1163</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915</v>
      </c>
      <c r="C201" s="707" t="s">
        <v>1627</v>
      </c>
      <c r="D201" s="707" t="s">
        <v>1398</v>
      </c>
      <c r="E201" s="745" t="s">
        <v>1628</v>
      </c>
      <c r="F201" s="745" t="s">
        <v>2797</v>
      </c>
      <c r="G201" s="743" t="s">
        <v>1800</v>
      </c>
      <c r="H201" s="744" t="s">
        <v>444</v>
      </c>
      <c r="I201" s="2031" t="s">
        <v>2782</v>
      </c>
      <c r="J201" s="731" t="s">
        <v>2734</v>
      </c>
      <c r="K201" s="732"/>
      <c r="L201" s="729"/>
      <c r="M201" s="730"/>
      <c r="N201" s="1179" t="s">
        <v>2733</v>
      </c>
      <c r="O201" s="1179" t="s">
        <v>342</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916</v>
      </c>
      <c r="C202" s="707" t="s">
        <v>165</v>
      </c>
      <c r="D202" s="707" t="s">
        <v>1289</v>
      </c>
      <c r="E202" s="742" t="s">
        <v>166</v>
      </c>
      <c r="F202" s="742" t="s">
        <v>2796</v>
      </c>
      <c r="G202" s="743" t="s">
        <v>1801</v>
      </c>
      <c r="H202" s="744" t="s">
        <v>443</v>
      </c>
      <c r="I202" s="2030" t="s">
        <v>2782</v>
      </c>
      <c r="J202" s="731" t="s">
        <v>2736</v>
      </c>
      <c r="K202" s="732"/>
      <c r="L202" s="729"/>
      <c r="M202" s="730"/>
      <c r="N202" s="1179" t="s">
        <v>2735</v>
      </c>
      <c r="O202" s="1179" t="s">
        <v>2653</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917</v>
      </c>
      <c r="C203" s="707" t="s">
        <v>167</v>
      </c>
      <c r="D203" s="707" t="s">
        <v>1289</v>
      </c>
      <c r="E203" s="745" t="s">
        <v>1413</v>
      </c>
      <c r="F203" s="745" t="s">
        <v>2797</v>
      </c>
      <c r="G203" s="743" t="s">
        <v>1560</v>
      </c>
      <c r="H203" s="744" t="s">
        <v>444</v>
      </c>
      <c r="I203" s="2030" t="s">
        <v>1269</v>
      </c>
      <c r="J203" s="731" t="s">
        <v>2738</v>
      </c>
      <c r="K203" s="732"/>
      <c r="L203" s="729"/>
      <c r="M203" s="730"/>
      <c r="N203" s="1179" t="s">
        <v>2737</v>
      </c>
      <c r="O203" s="1179" t="s">
        <v>1419</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1429</v>
      </c>
      <c r="C204" s="707" t="s">
        <v>168</v>
      </c>
      <c r="D204" s="707" t="s">
        <v>1422</v>
      </c>
      <c r="E204" s="745" t="s">
        <v>169</v>
      </c>
      <c r="F204" s="745" t="s">
        <v>2797</v>
      </c>
      <c r="G204" s="743" t="s">
        <v>1802</v>
      </c>
      <c r="H204" s="744" t="s">
        <v>444</v>
      </c>
      <c r="I204" s="2031" t="s">
        <v>2782</v>
      </c>
      <c r="J204" s="731" t="s">
        <v>2739</v>
      </c>
      <c r="K204" s="732"/>
      <c r="L204" s="729"/>
      <c r="M204" s="730"/>
      <c r="N204" s="1179" t="s">
        <v>2740</v>
      </c>
      <c r="O204" s="1179" t="s">
        <v>2774</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1430</v>
      </c>
      <c r="C205" s="707" t="s">
        <v>170</v>
      </c>
      <c r="D205" s="707" t="s">
        <v>1398</v>
      </c>
      <c r="E205" s="742" t="s">
        <v>171</v>
      </c>
      <c r="F205" s="742" t="s">
        <v>2796</v>
      </c>
      <c r="G205" s="743" t="s">
        <v>1803</v>
      </c>
      <c r="H205" s="744" t="s">
        <v>443</v>
      </c>
      <c r="I205" s="2030" t="s">
        <v>2782</v>
      </c>
      <c r="J205" s="731" t="s">
        <v>2741</v>
      </c>
      <c r="K205" s="732"/>
      <c r="L205" s="729"/>
      <c r="M205" s="730"/>
      <c r="N205" s="1179" t="s">
        <v>2742</v>
      </c>
      <c r="O205" s="1179" t="s">
        <v>2052</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1431</v>
      </c>
      <c r="C206" s="707" t="s">
        <v>172</v>
      </c>
      <c r="D206" s="707" t="s">
        <v>1398</v>
      </c>
      <c r="E206" s="745" t="s">
        <v>816</v>
      </c>
      <c r="F206" s="745" t="s">
        <v>2797</v>
      </c>
      <c r="G206" s="743" t="s">
        <v>2759</v>
      </c>
      <c r="H206" s="744" t="s">
        <v>444</v>
      </c>
      <c r="I206" s="2030" t="s">
        <v>1269</v>
      </c>
      <c r="J206" s="731" t="s">
        <v>437</v>
      </c>
      <c r="K206" s="732"/>
      <c r="L206" s="729"/>
      <c r="M206" s="730"/>
      <c r="N206" s="1179" t="s">
        <v>174</v>
      </c>
      <c r="O206" s="1179" t="s">
        <v>173</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1432</v>
      </c>
      <c r="C207" s="707" t="s">
        <v>173</v>
      </c>
      <c r="D207" s="707" t="s">
        <v>1422</v>
      </c>
      <c r="E207" s="742" t="s">
        <v>2182</v>
      </c>
      <c r="F207" s="742" t="s">
        <v>2797</v>
      </c>
      <c r="G207" s="743" t="s">
        <v>662</v>
      </c>
      <c r="H207" s="744" t="s">
        <v>444</v>
      </c>
      <c r="I207" s="2031" t="s">
        <v>1269</v>
      </c>
      <c r="J207" s="731" t="s">
        <v>438</v>
      </c>
      <c r="K207" s="732"/>
      <c r="L207" s="707"/>
      <c r="M207" s="730"/>
      <c r="N207" s="1179" t="s">
        <v>1283</v>
      </c>
      <c r="O207" s="1179" t="s">
        <v>1284</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1433</v>
      </c>
      <c r="C208" s="707" t="s">
        <v>2650</v>
      </c>
      <c r="D208" s="707" t="s">
        <v>1289</v>
      </c>
      <c r="E208" s="742" t="s">
        <v>2651</v>
      </c>
      <c r="F208" s="742" t="s">
        <v>2796</v>
      </c>
      <c r="G208" s="743" t="s">
        <v>663</v>
      </c>
      <c r="H208" s="744" t="s">
        <v>443</v>
      </c>
      <c r="I208" s="2031" t="s">
        <v>2782</v>
      </c>
      <c r="J208" s="731" t="s">
        <v>831</v>
      </c>
      <c r="K208" s="709"/>
      <c r="L208" s="729"/>
      <c r="M208" s="730"/>
      <c r="N208" s="1179" t="s">
        <v>832</v>
      </c>
      <c r="O208" s="1179" t="s">
        <v>205</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1434</v>
      </c>
      <c r="C209" s="707" t="s">
        <v>2652</v>
      </c>
      <c r="D209" s="707" t="s">
        <v>1422</v>
      </c>
      <c r="E209" s="745" t="s">
        <v>816</v>
      </c>
      <c r="F209" s="745" t="s">
        <v>2797</v>
      </c>
      <c r="G209" s="743" t="s">
        <v>2759</v>
      </c>
      <c r="H209" s="744" t="s">
        <v>444</v>
      </c>
      <c r="I209" s="2030" t="s">
        <v>1269</v>
      </c>
      <c r="J209" s="731" t="s">
        <v>833</v>
      </c>
      <c r="K209" s="709"/>
      <c r="L209" s="729"/>
      <c r="M209" s="730"/>
      <c r="N209" s="1179" t="s">
        <v>2210</v>
      </c>
      <c r="O209" s="1179" t="s">
        <v>1400</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1435</v>
      </c>
      <c r="C210" s="707" t="s">
        <v>2653</v>
      </c>
      <c r="D210" s="707" t="s">
        <v>1289</v>
      </c>
      <c r="E210" s="742" t="s">
        <v>2654</v>
      </c>
      <c r="F210" s="742" t="s">
        <v>2796</v>
      </c>
      <c r="G210" s="743" t="s">
        <v>664</v>
      </c>
      <c r="H210" s="744" t="s">
        <v>443</v>
      </c>
      <c r="I210" s="2031" t="s">
        <v>2782</v>
      </c>
      <c r="J210" s="731" t="s">
        <v>2211</v>
      </c>
      <c r="K210" s="709"/>
      <c r="L210" s="729"/>
      <c r="M210" s="730"/>
      <c r="N210" s="1179" t="s">
        <v>1417</v>
      </c>
      <c r="O210" s="1179" t="s">
        <v>1175</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1436</v>
      </c>
      <c r="C211" s="707" t="s">
        <v>2655</v>
      </c>
      <c r="D211" s="707" t="s">
        <v>1398</v>
      </c>
      <c r="E211" s="745" t="s">
        <v>816</v>
      </c>
      <c r="F211" s="745" t="s">
        <v>2797</v>
      </c>
      <c r="G211" s="743" t="s">
        <v>2759</v>
      </c>
      <c r="H211" s="744" t="s">
        <v>444</v>
      </c>
      <c r="I211" s="2030" t="s">
        <v>1269</v>
      </c>
      <c r="J211" s="731" t="s">
        <v>2212</v>
      </c>
      <c r="K211" s="709"/>
      <c r="L211" s="729"/>
      <c r="M211" s="730"/>
      <c r="N211" s="1179" t="s">
        <v>2213</v>
      </c>
      <c r="O211" s="1179" t="s">
        <v>2655</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1437</v>
      </c>
      <c r="C212" s="707" t="s">
        <v>2656</v>
      </c>
      <c r="D212" s="707" t="s">
        <v>1289</v>
      </c>
      <c r="E212" s="742" t="s">
        <v>2657</v>
      </c>
      <c r="F212" s="742" t="s">
        <v>2796</v>
      </c>
      <c r="G212" s="743" t="s">
        <v>665</v>
      </c>
      <c r="H212" s="744" t="s">
        <v>443</v>
      </c>
      <c r="I212" s="2031" t="s">
        <v>2782</v>
      </c>
      <c r="J212" s="731" t="s">
        <v>2214</v>
      </c>
      <c r="K212" s="709"/>
      <c r="L212" s="729"/>
      <c r="M212" s="730"/>
      <c r="N212" s="1179" t="s">
        <v>2136</v>
      </c>
      <c r="O212" s="1179" t="s">
        <v>2314</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1438</v>
      </c>
      <c r="C213" s="707" t="s">
        <v>2658</v>
      </c>
      <c r="D213" s="707" t="s">
        <v>1289</v>
      </c>
      <c r="E213" s="742" t="s">
        <v>2701</v>
      </c>
      <c r="F213" s="742" t="s">
        <v>2796</v>
      </c>
      <c r="G213" s="743" t="s">
        <v>666</v>
      </c>
      <c r="H213" s="744" t="s">
        <v>443</v>
      </c>
      <c r="I213" s="2031" t="s">
        <v>2782</v>
      </c>
      <c r="J213" s="731" t="s">
        <v>2245</v>
      </c>
      <c r="K213" s="709"/>
      <c r="L213" s="729"/>
      <c r="M213" s="730"/>
      <c r="N213" s="1179" t="s">
        <v>2215</v>
      </c>
      <c r="O213" s="1179" t="s">
        <v>347</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1439</v>
      </c>
      <c r="C214" s="707" t="s">
        <v>2702</v>
      </c>
      <c r="D214" s="707" t="s">
        <v>1422</v>
      </c>
      <c r="E214" s="745" t="s">
        <v>817</v>
      </c>
      <c r="F214" s="745" t="s">
        <v>2797</v>
      </c>
      <c r="G214" s="743" t="s">
        <v>2781</v>
      </c>
      <c r="H214" s="744" t="s">
        <v>444</v>
      </c>
      <c r="I214" s="2031" t="s">
        <v>2782</v>
      </c>
      <c r="J214" s="731" t="s">
        <v>2247</v>
      </c>
      <c r="K214" s="709"/>
      <c r="L214" s="729"/>
      <c r="M214" s="730"/>
      <c r="N214" s="1179" t="s">
        <v>2246</v>
      </c>
      <c r="O214" s="1179" t="s">
        <v>670</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1440</v>
      </c>
      <c r="C215" s="707" t="s">
        <v>2703</v>
      </c>
      <c r="D215" s="707" t="s">
        <v>1289</v>
      </c>
      <c r="E215" s="742" t="s">
        <v>2704</v>
      </c>
      <c r="F215" s="742" t="s">
        <v>2796</v>
      </c>
      <c r="G215" s="743" t="s">
        <v>667</v>
      </c>
      <c r="H215" s="744" t="s">
        <v>443</v>
      </c>
      <c r="I215" s="2031" t="s">
        <v>2782</v>
      </c>
      <c r="J215" s="731" t="s">
        <v>2249</v>
      </c>
      <c r="K215" s="709"/>
      <c r="L215" s="729"/>
      <c r="M215" s="730"/>
      <c r="N215" s="1179" t="s">
        <v>2248</v>
      </c>
      <c r="O215" s="1179" t="s">
        <v>1745</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1441</v>
      </c>
      <c r="C216" s="707" t="s">
        <v>2705</v>
      </c>
      <c r="D216" s="707" t="s">
        <v>1422</v>
      </c>
      <c r="E216" s="745" t="s">
        <v>816</v>
      </c>
      <c r="F216" s="745" t="s">
        <v>2797</v>
      </c>
      <c r="G216" s="743" t="s">
        <v>2759</v>
      </c>
      <c r="H216" s="744" t="s">
        <v>444</v>
      </c>
      <c r="I216" s="2030" t="s">
        <v>1269</v>
      </c>
      <c r="J216" s="731" t="s">
        <v>2251</v>
      </c>
      <c r="K216" s="709"/>
      <c r="L216" s="729"/>
      <c r="M216" s="730"/>
      <c r="N216" s="1179" t="s">
        <v>2250</v>
      </c>
      <c r="O216" s="1179" t="s">
        <v>205</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1442</v>
      </c>
      <c r="C217" s="707" t="s">
        <v>2706</v>
      </c>
      <c r="D217" s="707" t="s">
        <v>1422</v>
      </c>
      <c r="E217" s="745" t="s">
        <v>1407</v>
      </c>
      <c r="F217" s="745" t="s">
        <v>2797</v>
      </c>
      <c r="G217" s="743" t="s">
        <v>2762</v>
      </c>
      <c r="H217" s="744" t="s">
        <v>444</v>
      </c>
      <c r="I217" s="2031" t="s">
        <v>2782</v>
      </c>
      <c r="J217" s="731" t="s">
        <v>2722</v>
      </c>
      <c r="K217" s="709"/>
      <c r="L217" s="729"/>
      <c r="M217" s="730"/>
      <c r="N217" s="1179" t="s">
        <v>1908</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1443</v>
      </c>
      <c r="C218" s="707" t="s">
        <v>2707</v>
      </c>
      <c r="D218" s="707" t="s">
        <v>1289</v>
      </c>
      <c r="E218" s="742" t="s">
        <v>202</v>
      </c>
      <c r="F218" s="742" t="s">
        <v>2796</v>
      </c>
      <c r="G218" s="743" t="s">
        <v>668</v>
      </c>
      <c r="H218" s="744" t="s">
        <v>443</v>
      </c>
      <c r="I218" s="2031" t="s">
        <v>2782</v>
      </c>
      <c r="J218" s="731" t="s">
        <v>1067</v>
      </c>
      <c r="K218" s="709"/>
      <c r="L218" s="729"/>
      <c r="M218" s="730"/>
      <c r="N218" s="1179" t="s">
        <v>2723</v>
      </c>
      <c r="O218" s="1179" t="s">
        <v>172</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1444</v>
      </c>
      <c r="C219" s="707" t="s">
        <v>203</v>
      </c>
      <c r="D219" s="707" t="s">
        <v>1398</v>
      </c>
      <c r="E219" s="745" t="s">
        <v>1628</v>
      </c>
      <c r="F219" s="745" t="s">
        <v>2797</v>
      </c>
      <c r="G219" s="743" t="s">
        <v>1800</v>
      </c>
      <c r="H219" s="744" t="s">
        <v>444</v>
      </c>
      <c r="I219" s="2031" t="s">
        <v>2782</v>
      </c>
      <c r="J219" s="731" t="s">
        <v>2139</v>
      </c>
      <c r="K219" s="709"/>
      <c r="L219" s="729"/>
      <c r="M219" s="730"/>
      <c r="N219" s="1179" t="s">
        <v>1068</v>
      </c>
      <c r="O219" s="1179" t="s">
        <v>451</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1445</v>
      </c>
      <c r="C220" s="707" t="s">
        <v>204</v>
      </c>
      <c r="D220" s="707" t="s">
        <v>1398</v>
      </c>
      <c r="E220" s="745" t="s">
        <v>816</v>
      </c>
      <c r="F220" s="745" t="s">
        <v>2797</v>
      </c>
      <c r="G220" s="743" t="s">
        <v>2759</v>
      </c>
      <c r="H220" s="744" t="s">
        <v>444</v>
      </c>
      <c r="I220" s="2030" t="s">
        <v>1269</v>
      </c>
      <c r="J220" s="731" t="s">
        <v>16</v>
      </c>
      <c r="K220" s="709"/>
      <c r="L220" s="729"/>
      <c r="M220" s="730"/>
      <c r="N220" s="1179" t="s">
        <v>1401</v>
      </c>
      <c r="O220" s="1179" t="s">
        <v>347</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1446</v>
      </c>
      <c r="C221" s="707" t="s">
        <v>205</v>
      </c>
      <c r="D221" s="707" t="s">
        <v>1289</v>
      </c>
      <c r="E221" s="742" t="s">
        <v>206</v>
      </c>
      <c r="F221" s="742" t="s">
        <v>2796</v>
      </c>
      <c r="G221" s="743" t="s">
        <v>669</v>
      </c>
      <c r="H221" s="744" t="s">
        <v>443</v>
      </c>
      <c r="I221" s="2031" t="s">
        <v>2782</v>
      </c>
      <c r="J221" s="731" t="s">
        <v>2384</v>
      </c>
      <c r="K221" s="709"/>
      <c r="L221" s="729"/>
      <c r="M221" s="730"/>
      <c r="N221" s="1179" t="s">
        <v>17</v>
      </c>
      <c r="O221" s="1179" t="s">
        <v>1780</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1447</v>
      </c>
      <c r="C222" s="707" t="s">
        <v>207</v>
      </c>
      <c r="D222" s="707" t="s">
        <v>1422</v>
      </c>
      <c r="E222" s="745" t="s">
        <v>816</v>
      </c>
      <c r="F222" s="745" t="s">
        <v>2797</v>
      </c>
      <c r="G222" s="743" t="s">
        <v>2759</v>
      </c>
      <c r="H222" s="744" t="s">
        <v>444</v>
      </c>
      <c r="I222" s="2030" t="s">
        <v>1269</v>
      </c>
      <c r="J222" s="731" t="s">
        <v>2386</v>
      </c>
      <c r="K222" s="709"/>
      <c r="L222" s="729"/>
      <c r="M222" s="730"/>
      <c r="N222" s="1179" t="s">
        <v>2385</v>
      </c>
      <c r="O222" s="1179" t="s">
        <v>1288</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1448</v>
      </c>
      <c r="C223" s="707" t="s">
        <v>208</v>
      </c>
      <c r="D223" s="707" t="s">
        <v>1289</v>
      </c>
      <c r="E223" s="742" t="s">
        <v>1010</v>
      </c>
      <c r="F223" s="742" t="s">
        <v>2796</v>
      </c>
      <c r="G223" s="743" t="s">
        <v>2094</v>
      </c>
      <c r="H223" s="744" t="s">
        <v>443</v>
      </c>
      <c r="I223" s="2031" t="s">
        <v>2782</v>
      </c>
      <c r="J223" s="731" t="s">
        <v>2388</v>
      </c>
      <c r="K223" s="709"/>
      <c r="L223" s="729"/>
      <c r="M223" s="730"/>
      <c r="N223" s="707" t="s">
        <v>2387</v>
      </c>
      <c r="O223" s="707" t="s">
        <v>2393</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1449</v>
      </c>
      <c r="C224" s="707" t="s">
        <v>1011</v>
      </c>
      <c r="D224" s="707" t="s">
        <v>1289</v>
      </c>
      <c r="E224" s="742" t="s">
        <v>1012</v>
      </c>
      <c r="F224" s="742" t="s">
        <v>2796</v>
      </c>
      <c r="G224" s="743" t="s">
        <v>2095</v>
      </c>
      <c r="H224" s="744" t="s">
        <v>443</v>
      </c>
      <c r="I224" s="2031" t="s">
        <v>2782</v>
      </c>
      <c r="J224" s="731" t="s">
        <v>2418</v>
      </c>
      <c r="K224" s="709"/>
      <c r="L224" s="729"/>
      <c r="M224" s="730"/>
      <c r="N224" s="1179" t="s">
        <v>2744</v>
      </c>
      <c r="O224" s="1179" t="s">
        <v>670</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1450</v>
      </c>
      <c r="C225" s="707" t="s">
        <v>1013</v>
      </c>
      <c r="D225" s="707" t="s">
        <v>1289</v>
      </c>
      <c r="E225" s="745" t="s">
        <v>1907</v>
      </c>
      <c r="F225" s="745" t="s">
        <v>2797</v>
      </c>
      <c r="G225" s="743" t="s">
        <v>1232</v>
      </c>
      <c r="H225" s="744" t="s">
        <v>444</v>
      </c>
      <c r="I225" s="2031" t="s">
        <v>1269</v>
      </c>
      <c r="J225" s="731" t="s">
        <v>1898</v>
      </c>
      <c r="K225" s="709"/>
      <c r="L225" s="729"/>
      <c r="M225" s="730"/>
      <c r="N225" s="1179" t="s">
        <v>2389</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1451</v>
      </c>
      <c r="C226" s="707" t="s">
        <v>929</v>
      </c>
      <c r="D226" s="707" t="s">
        <v>1422</v>
      </c>
      <c r="E226" s="745" t="s">
        <v>816</v>
      </c>
      <c r="F226" s="745" t="s">
        <v>2797</v>
      </c>
      <c r="G226" s="743" t="s">
        <v>2759</v>
      </c>
      <c r="H226" s="744" t="s">
        <v>444</v>
      </c>
      <c r="I226" s="2030" t="s">
        <v>1269</v>
      </c>
      <c r="J226" s="731" t="s">
        <v>1900</v>
      </c>
      <c r="K226" s="709"/>
      <c r="L226" s="729"/>
      <c r="M226" s="730"/>
      <c r="N226" s="1179" t="s">
        <v>1873</v>
      </c>
      <c r="O226" s="1179" t="s">
        <v>2658</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1452</v>
      </c>
      <c r="C227" s="707" t="s">
        <v>930</v>
      </c>
      <c r="D227" s="707" t="s">
        <v>1289</v>
      </c>
      <c r="E227" s="742" t="s">
        <v>931</v>
      </c>
      <c r="F227" s="742" t="s">
        <v>2796</v>
      </c>
      <c r="G227" s="743" t="s">
        <v>2096</v>
      </c>
      <c r="H227" s="744" t="s">
        <v>443</v>
      </c>
      <c r="I227" s="2031" t="s">
        <v>2782</v>
      </c>
      <c r="J227" s="731" t="s">
        <v>2298</v>
      </c>
      <c r="K227" s="709"/>
      <c r="L227" s="729"/>
      <c r="M227" s="730"/>
      <c r="N227" s="1179" t="s">
        <v>1899</v>
      </c>
      <c r="O227" s="1179" t="s">
        <v>1400</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1453</v>
      </c>
      <c r="C228" s="707" t="s">
        <v>932</v>
      </c>
      <c r="D228" s="707" t="s">
        <v>1289</v>
      </c>
      <c r="E228" s="742" t="s">
        <v>1816</v>
      </c>
      <c r="F228" s="742" t="s">
        <v>2797</v>
      </c>
      <c r="G228" s="743" t="s">
        <v>2765</v>
      </c>
      <c r="H228" s="744" t="s">
        <v>444</v>
      </c>
      <c r="I228" s="2031" t="s">
        <v>2782</v>
      </c>
      <c r="J228" s="731" t="s">
        <v>2299</v>
      </c>
      <c r="K228" s="709"/>
      <c r="L228" s="729"/>
      <c r="M228" s="730"/>
      <c r="N228" s="1179" t="s">
        <v>1901</v>
      </c>
      <c r="O228" s="1179" t="s">
        <v>2145</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1454</v>
      </c>
      <c r="C229" s="707" t="s">
        <v>933</v>
      </c>
      <c r="D229" s="707" t="s">
        <v>1289</v>
      </c>
      <c r="E229" s="745" t="s">
        <v>1413</v>
      </c>
      <c r="F229" s="745" t="s">
        <v>2797</v>
      </c>
      <c r="G229" s="743" t="s">
        <v>1560</v>
      </c>
      <c r="H229" s="744" t="s">
        <v>444</v>
      </c>
      <c r="I229" s="2031" t="s">
        <v>2782</v>
      </c>
      <c r="J229" s="731" t="s">
        <v>2609</v>
      </c>
      <c r="K229" s="732"/>
      <c r="L229" s="729"/>
      <c r="M229" s="730"/>
      <c r="N229" s="1179" t="s">
        <v>880</v>
      </c>
      <c r="O229" s="1179" t="s">
        <v>2771</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934</v>
      </c>
      <c r="D230" s="707" t="s">
        <v>1422</v>
      </c>
      <c r="E230" s="742" t="s">
        <v>935</v>
      </c>
      <c r="F230" s="742" t="s">
        <v>2796</v>
      </c>
      <c r="G230" s="743" t="s">
        <v>1423</v>
      </c>
      <c r="H230" s="744" t="s">
        <v>443</v>
      </c>
      <c r="I230" s="2031" t="s">
        <v>2782</v>
      </c>
      <c r="J230" s="731" t="s">
        <v>2611</v>
      </c>
      <c r="K230" s="732"/>
      <c r="L230" s="729"/>
      <c r="M230" s="730"/>
      <c r="N230" s="1179" t="s">
        <v>2300</v>
      </c>
      <c r="O230" s="1179" t="s">
        <v>2773</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2391</v>
      </c>
      <c r="D231" s="707" t="s">
        <v>1289</v>
      </c>
      <c r="E231" s="742" t="s">
        <v>2392</v>
      </c>
      <c r="F231" s="742" t="s">
        <v>2796</v>
      </c>
      <c r="G231" s="743" t="s">
        <v>1424</v>
      </c>
      <c r="H231" s="744" t="s">
        <v>443</v>
      </c>
      <c r="I231" s="2031" t="s">
        <v>2782</v>
      </c>
      <c r="J231" s="731" t="s">
        <v>2613</v>
      </c>
      <c r="K231" s="732"/>
      <c r="L231" s="729"/>
      <c r="M231" s="730"/>
      <c r="N231" s="707" t="s">
        <v>2610</v>
      </c>
      <c r="O231" s="707" t="s">
        <v>1160</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2393</v>
      </c>
      <c r="D232" s="707" t="s">
        <v>1289</v>
      </c>
      <c r="E232" s="742" t="s">
        <v>701</v>
      </c>
      <c r="F232" s="742" t="s">
        <v>2796</v>
      </c>
      <c r="G232" s="743" t="s">
        <v>1425</v>
      </c>
      <c r="H232" s="744" t="s">
        <v>443</v>
      </c>
      <c r="I232" s="2031" t="s">
        <v>2782</v>
      </c>
      <c r="J232" s="731" t="s">
        <v>2615</v>
      </c>
      <c r="K232" s="732"/>
      <c r="L232" s="729"/>
      <c r="M232" s="730"/>
      <c r="N232" s="1179" t="s">
        <v>2745</v>
      </c>
      <c r="O232" s="1179" t="s">
        <v>338</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702</v>
      </c>
      <c r="D233" s="707" t="s">
        <v>1398</v>
      </c>
      <c r="E233" s="742" t="s">
        <v>703</v>
      </c>
      <c r="F233" s="742" t="s">
        <v>2796</v>
      </c>
      <c r="G233" s="743" t="s">
        <v>1426</v>
      </c>
      <c r="H233" s="744" t="s">
        <v>443</v>
      </c>
      <c r="I233" s="2031" t="s">
        <v>2782</v>
      </c>
      <c r="J233" s="731" t="s">
        <v>2616</v>
      </c>
      <c r="K233" s="732"/>
      <c r="L233" s="729"/>
      <c r="M233" s="730"/>
      <c r="N233" s="1179" t="s">
        <v>2612</v>
      </c>
      <c r="O233" s="1179" t="s">
        <v>2055</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704</v>
      </c>
      <c r="D234" s="707" t="s">
        <v>1422</v>
      </c>
      <c r="E234" s="745" t="s">
        <v>816</v>
      </c>
      <c r="F234" s="745" t="s">
        <v>2797</v>
      </c>
      <c r="G234" s="743" t="s">
        <v>2759</v>
      </c>
      <c r="H234" s="744" t="s">
        <v>444</v>
      </c>
      <c r="I234" s="2030" t="s">
        <v>1269</v>
      </c>
      <c r="J234" s="731" t="s">
        <v>2377</v>
      </c>
      <c r="K234" s="732"/>
      <c r="L234" s="729"/>
      <c r="M234" s="730"/>
      <c r="N234" s="1179" t="s">
        <v>2614</v>
      </c>
      <c r="O234" s="1179" t="s">
        <v>930</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705</v>
      </c>
      <c r="D235" s="707" t="s">
        <v>1398</v>
      </c>
      <c r="E235" s="745" t="s">
        <v>2417</v>
      </c>
      <c r="F235" s="745" t="s">
        <v>2797</v>
      </c>
      <c r="G235" s="743" t="s">
        <v>1427</v>
      </c>
      <c r="H235" s="744" t="s">
        <v>444</v>
      </c>
      <c r="I235" s="2031" t="s">
        <v>1269</v>
      </c>
      <c r="J235" s="731" t="s">
        <v>757</v>
      </c>
      <c r="K235" s="732"/>
      <c r="L235" s="729"/>
      <c r="M235" s="730"/>
      <c r="N235" s="1179" t="s">
        <v>2617</v>
      </c>
      <c r="O235" s="1179" t="s">
        <v>167</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706</v>
      </c>
      <c r="D236" s="707" t="s">
        <v>1398</v>
      </c>
      <c r="E236" s="745" t="s">
        <v>816</v>
      </c>
      <c r="F236" s="745" t="s">
        <v>2797</v>
      </c>
      <c r="G236" s="743" t="s">
        <v>2759</v>
      </c>
      <c r="H236" s="744" t="s">
        <v>444</v>
      </c>
      <c r="I236" s="2030" t="s">
        <v>1269</v>
      </c>
      <c r="J236" s="731" t="s">
        <v>759</v>
      </c>
      <c r="K236" s="732"/>
      <c r="L236" s="729"/>
      <c r="M236" s="730"/>
      <c r="N236" s="1179" t="s">
        <v>2378</v>
      </c>
      <c r="O236" s="1179" t="s">
        <v>702</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707</v>
      </c>
      <c r="D237" s="707" t="s">
        <v>1398</v>
      </c>
      <c r="E237" s="745" t="s">
        <v>708</v>
      </c>
      <c r="F237" s="745" t="s">
        <v>2796</v>
      </c>
      <c r="G237" s="743" t="s">
        <v>1428</v>
      </c>
      <c r="H237" s="744" t="s">
        <v>443</v>
      </c>
      <c r="I237" s="2031" t="s">
        <v>2782</v>
      </c>
      <c r="J237" s="731" t="s">
        <v>761</v>
      </c>
      <c r="K237" s="732"/>
      <c r="L237" s="729"/>
      <c r="M237" s="730"/>
      <c r="N237" s="1179" t="s">
        <v>758</v>
      </c>
      <c r="O237" s="1179" t="s">
        <v>2650</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1284</v>
      </c>
      <c r="D238" s="707" t="s">
        <v>1422</v>
      </c>
      <c r="E238" s="745" t="s">
        <v>816</v>
      </c>
      <c r="F238" s="745" t="s">
        <v>2797</v>
      </c>
      <c r="G238" s="743" t="s">
        <v>2759</v>
      </c>
      <c r="H238" s="744" t="s">
        <v>444</v>
      </c>
      <c r="I238" s="2030" t="s">
        <v>1269</v>
      </c>
      <c r="J238" s="731" t="s">
        <v>763</v>
      </c>
      <c r="K238" s="732"/>
      <c r="L238" s="729"/>
      <c r="M238" s="730"/>
      <c r="N238" s="1179" t="s">
        <v>760</v>
      </c>
      <c r="O238" s="1179" t="s">
        <v>1175</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709</v>
      </c>
      <c r="D239" s="707" t="s">
        <v>1398</v>
      </c>
      <c r="E239" s="742" t="s">
        <v>710</v>
      </c>
      <c r="F239" s="742" t="s">
        <v>2796</v>
      </c>
      <c r="G239" s="743" t="s">
        <v>253</v>
      </c>
      <c r="H239" s="744" t="s">
        <v>443</v>
      </c>
      <c r="I239" s="2031" t="s">
        <v>2782</v>
      </c>
      <c r="J239" s="731" t="s">
        <v>2368</v>
      </c>
      <c r="K239" s="732"/>
      <c r="L239" s="729"/>
      <c r="M239" s="730"/>
      <c r="N239" s="707" t="s">
        <v>762</v>
      </c>
      <c r="O239" s="707" t="s">
        <v>2773</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711</v>
      </c>
      <c r="D240" s="707" t="s">
        <v>1422</v>
      </c>
      <c r="E240" s="745" t="s">
        <v>712</v>
      </c>
      <c r="F240" s="745" t="s">
        <v>2796</v>
      </c>
      <c r="G240" s="743" t="s">
        <v>254</v>
      </c>
      <c r="H240" s="744" t="s">
        <v>443</v>
      </c>
      <c r="I240" s="2031" t="s">
        <v>2782</v>
      </c>
      <c r="J240" s="731" t="s">
        <v>2369</v>
      </c>
      <c r="K240" s="732"/>
      <c r="L240" s="729"/>
      <c r="M240" s="730"/>
      <c r="N240" s="1179" t="s">
        <v>2746</v>
      </c>
      <c r="O240" s="1179" t="s">
        <v>2652</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713</v>
      </c>
      <c r="D241" s="707" t="s">
        <v>1289</v>
      </c>
      <c r="E241" s="742" t="s">
        <v>12</v>
      </c>
      <c r="F241" s="742" t="s">
        <v>2797</v>
      </c>
      <c r="G241" s="743" t="s">
        <v>2764</v>
      </c>
      <c r="H241" s="744" t="s">
        <v>444</v>
      </c>
      <c r="I241" s="2031" t="s">
        <v>1269</v>
      </c>
      <c r="J241" s="731" t="s">
        <v>2371</v>
      </c>
      <c r="K241" s="732"/>
      <c r="L241" s="729"/>
      <c r="M241" s="730"/>
      <c r="N241" s="1179" t="s">
        <v>2370</v>
      </c>
      <c r="O241" s="1179" t="s">
        <v>1780</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714</v>
      </c>
      <c r="D242" s="707" t="s">
        <v>1398</v>
      </c>
      <c r="E242" s="742" t="s">
        <v>715</v>
      </c>
      <c r="F242" s="742" t="s">
        <v>2796</v>
      </c>
      <c r="G242" s="743" t="s">
        <v>255</v>
      </c>
      <c r="H242" s="744" t="s">
        <v>443</v>
      </c>
      <c r="I242" s="2031" t="s">
        <v>2782</v>
      </c>
      <c r="J242" s="731" t="s">
        <v>731</v>
      </c>
      <c r="K242" s="732"/>
      <c r="L242" s="729"/>
      <c r="M242" s="730"/>
      <c r="N242" s="1179" t="s">
        <v>2372</v>
      </c>
      <c r="O242" s="1179" t="s">
        <v>2767</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716</v>
      </c>
      <c r="D243" s="707" t="s">
        <v>1289</v>
      </c>
      <c r="E243" s="742" t="s">
        <v>717</v>
      </c>
      <c r="F243" s="742" t="s">
        <v>2796</v>
      </c>
      <c r="G243" s="743" t="s">
        <v>423</v>
      </c>
      <c r="H243" s="744" t="s">
        <v>443</v>
      </c>
      <c r="I243" s="2031" t="s">
        <v>2782</v>
      </c>
      <c r="J243" s="731" t="s">
        <v>844</v>
      </c>
      <c r="K243" s="732"/>
      <c r="L243" s="729"/>
      <c r="M243" s="730"/>
      <c r="N243" s="1179" t="s">
        <v>732</v>
      </c>
      <c r="O243" s="1179" t="s">
        <v>784</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718</v>
      </c>
      <c r="D244" s="707" t="s">
        <v>1422</v>
      </c>
      <c r="E244" s="742" t="s">
        <v>719</v>
      </c>
      <c r="F244" s="742" t="s">
        <v>2796</v>
      </c>
      <c r="G244" s="743" t="s">
        <v>424</v>
      </c>
      <c r="H244" s="744" t="s">
        <v>443</v>
      </c>
      <c r="I244" s="2031" t="s">
        <v>2782</v>
      </c>
      <c r="J244" s="731" t="s">
        <v>2420</v>
      </c>
      <c r="K244" s="732"/>
      <c r="L244" s="729"/>
      <c r="M244" s="730"/>
      <c r="N244" s="1179" t="s">
        <v>2419</v>
      </c>
      <c r="O244" s="1179" t="s">
        <v>335</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1422</v>
      </c>
      <c r="E245" s="745" t="s">
        <v>816</v>
      </c>
      <c r="F245" s="745" t="s">
        <v>2797</v>
      </c>
      <c r="G245" s="743" t="s">
        <v>2759</v>
      </c>
      <c r="H245" s="744" t="s">
        <v>444</v>
      </c>
      <c r="I245" s="2030" t="s">
        <v>1269</v>
      </c>
      <c r="J245" s="731" t="s">
        <v>2450</v>
      </c>
      <c r="K245" s="732"/>
      <c r="L245" s="729"/>
      <c r="M245" s="730"/>
      <c r="N245" s="1179" t="s">
        <v>2482</v>
      </c>
      <c r="O245" s="1179" t="s">
        <v>934</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1398</v>
      </c>
      <c r="E246" s="742" t="s">
        <v>126</v>
      </c>
      <c r="F246" s="742" t="s">
        <v>2796</v>
      </c>
      <c r="G246" s="743" t="s">
        <v>425</v>
      </c>
      <c r="H246" s="744" t="s">
        <v>443</v>
      </c>
      <c r="I246" s="2031" t="s">
        <v>2782</v>
      </c>
      <c r="J246" s="731" t="s">
        <v>48</v>
      </c>
      <c r="K246" s="732"/>
      <c r="L246" s="729"/>
      <c r="M246" s="730"/>
      <c r="N246" s="1179" t="s">
        <v>49</v>
      </c>
      <c r="O246" s="1179" t="s">
        <v>342</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330</v>
      </c>
      <c r="D247" s="707" t="s">
        <v>1398</v>
      </c>
      <c r="E247" s="742" t="s">
        <v>1299</v>
      </c>
      <c r="F247" s="742" t="s">
        <v>2797</v>
      </c>
      <c r="G247" s="743" t="s">
        <v>426</v>
      </c>
      <c r="H247" s="744" t="s">
        <v>444</v>
      </c>
      <c r="I247" s="2031" t="s">
        <v>1269</v>
      </c>
      <c r="J247" s="731" t="s">
        <v>675</v>
      </c>
      <c r="K247" s="732"/>
      <c r="L247" s="729"/>
      <c r="M247" s="730"/>
      <c r="N247" s="1179" t="s">
        <v>676</v>
      </c>
      <c r="O247" s="1179" t="s">
        <v>2775</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331</v>
      </c>
      <c r="D248" s="707" t="s">
        <v>1422</v>
      </c>
      <c r="E248" s="742" t="s">
        <v>332</v>
      </c>
      <c r="F248" s="742" t="s">
        <v>2796</v>
      </c>
      <c r="G248" s="743" t="s">
        <v>427</v>
      </c>
      <c r="H248" s="744" t="s">
        <v>443</v>
      </c>
      <c r="I248" s="2031" t="s">
        <v>2782</v>
      </c>
      <c r="J248" s="731" t="s">
        <v>321</v>
      </c>
      <c r="K248" s="732"/>
      <c r="L248" s="729"/>
      <c r="M248" s="730"/>
      <c r="N248" s="1179" t="s">
        <v>322</v>
      </c>
      <c r="O248" s="1179" t="s">
        <v>333</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333</v>
      </c>
      <c r="D249" s="707" t="s">
        <v>1398</v>
      </c>
      <c r="E249" s="745" t="s">
        <v>818</v>
      </c>
      <c r="F249" s="745" t="s">
        <v>2797</v>
      </c>
      <c r="G249" s="743" t="s">
        <v>428</v>
      </c>
      <c r="H249" s="744" t="s">
        <v>444</v>
      </c>
      <c r="I249" s="2031" t="s">
        <v>2782</v>
      </c>
      <c r="J249" s="731" t="s">
        <v>2524</v>
      </c>
      <c r="K249" s="732"/>
      <c r="L249" s="729"/>
      <c r="M249" s="730"/>
      <c r="N249" s="1179" t="s">
        <v>2525</v>
      </c>
      <c r="O249" s="1179" t="s">
        <v>205</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334</v>
      </c>
      <c r="D250" s="707" t="s">
        <v>1422</v>
      </c>
      <c r="E250" s="745" t="s">
        <v>169</v>
      </c>
      <c r="F250" s="745" t="s">
        <v>2797</v>
      </c>
      <c r="G250" s="743" t="s">
        <v>1802</v>
      </c>
      <c r="H250" s="744" t="s">
        <v>444</v>
      </c>
      <c r="I250" s="2031" t="s">
        <v>2782</v>
      </c>
      <c r="J250" s="731" t="s">
        <v>2552</v>
      </c>
      <c r="K250" s="732"/>
      <c r="L250" s="729"/>
      <c r="M250" s="730"/>
      <c r="N250" s="1179" t="s">
        <v>2553</v>
      </c>
      <c r="O250" s="1179" t="s">
        <v>1779</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335</v>
      </c>
      <c r="D251" s="707" t="s">
        <v>1422</v>
      </c>
      <c r="E251" s="742" t="s">
        <v>336</v>
      </c>
      <c r="F251" s="742" t="s">
        <v>2796</v>
      </c>
      <c r="G251" s="743" t="s">
        <v>429</v>
      </c>
      <c r="H251" s="744" t="s">
        <v>443</v>
      </c>
      <c r="I251" s="2031" t="s">
        <v>2782</v>
      </c>
      <c r="J251" s="731" t="s">
        <v>2554</v>
      </c>
      <c r="K251" s="732"/>
      <c r="L251" s="729"/>
      <c r="M251" s="730"/>
      <c r="N251" s="1179" t="s">
        <v>3487</v>
      </c>
      <c r="O251" s="1179" t="s">
        <v>670</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337</v>
      </c>
      <c r="D252" s="707" t="s">
        <v>1422</v>
      </c>
      <c r="E252" s="745" t="s">
        <v>816</v>
      </c>
      <c r="F252" s="745" t="s">
        <v>2797</v>
      </c>
      <c r="G252" s="743" t="s">
        <v>2759</v>
      </c>
      <c r="H252" s="744" t="s">
        <v>444</v>
      </c>
      <c r="I252" s="2030" t="s">
        <v>1269</v>
      </c>
      <c r="J252" s="731" t="s">
        <v>2555</v>
      </c>
      <c r="K252" s="732"/>
      <c r="L252" s="729"/>
      <c r="M252" s="730"/>
      <c r="N252" s="1179" t="s">
        <v>671</v>
      </c>
      <c r="O252" s="1179" t="s">
        <v>1414</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338</v>
      </c>
      <c r="D253" s="707" t="s">
        <v>1422</v>
      </c>
      <c r="E253" s="745" t="s">
        <v>816</v>
      </c>
      <c r="F253" s="745" t="s">
        <v>2797</v>
      </c>
      <c r="G253" s="743" t="s">
        <v>2759</v>
      </c>
      <c r="H253" s="744" t="s">
        <v>444</v>
      </c>
      <c r="I253" s="2030" t="s">
        <v>1269</v>
      </c>
      <c r="J253" s="731" t="s">
        <v>2516</v>
      </c>
      <c r="K253" s="732"/>
      <c r="L253" s="729"/>
      <c r="M253" s="730"/>
      <c r="N253" s="1179" t="s">
        <v>1411</v>
      </c>
      <c r="O253" s="1179" t="s">
        <v>704</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339</v>
      </c>
      <c r="D254" s="707" t="s">
        <v>1422</v>
      </c>
      <c r="E254" s="745" t="s">
        <v>1829</v>
      </c>
      <c r="F254" s="745" t="s">
        <v>2797</v>
      </c>
      <c r="G254" s="743" t="s">
        <v>430</v>
      </c>
      <c r="H254" s="744" t="s">
        <v>444</v>
      </c>
      <c r="I254" s="2031" t="s">
        <v>1269</v>
      </c>
      <c r="J254" s="731" t="s">
        <v>11</v>
      </c>
      <c r="K254" s="732"/>
      <c r="L254" s="729"/>
      <c r="M254" s="730"/>
      <c r="N254" s="1179" t="s">
        <v>2517</v>
      </c>
      <c r="O254" s="1179" t="s">
        <v>2656</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340</v>
      </c>
      <c r="D255" s="707" t="s">
        <v>1289</v>
      </c>
      <c r="E255" s="742" t="s">
        <v>341</v>
      </c>
      <c r="F255" s="742" t="s">
        <v>2796</v>
      </c>
      <c r="G255" s="743" t="s">
        <v>694</v>
      </c>
      <c r="H255" s="744" t="s">
        <v>443</v>
      </c>
      <c r="I255" s="2031" t="s">
        <v>2782</v>
      </c>
      <c r="J255" s="731" t="s">
        <v>13</v>
      </c>
      <c r="K255" s="732"/>
      <c r="L255" s="729"/>
      <c r="M255" s="730"/>
      <c r="N255" s="1179" t="s">
        <v>12</v>
      </c>
      <c r="O255" s="1179" t="s">
        <v>713</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342</v>
      </c>
      <c r="D256" s="707" t="s">
        <v>1422</v>
      </c>
      <c r="E256" s="742" t="s">
        <v>343</v>
      </c>
      <c r="F256" s="742" t="s">
        <v>2796</v>
      </c>
      <c r="G256" s="743" t="s">
        <v>695</v>
      </c>
      <c r="H256" s="744" t="s">
        <v>443</v>
      </c>
      <c r="I256" s="2031" t="s">
        <v>2782</v>
      </c>
      <c r="J256" s="731" t="s">
        <v>59</v>
      </c>
      <c r="K256" s="732"/>
      <c r="L256" s="729"/>
      <c r="M256" s="730"/>
      <c r="N256" s="1179" t="s">
        <v>14</v>
      </c>
      <c r="O256" s="1179" t="s">
        <v>333</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344</v>
      </c>
      <c r="D257" s="707" t="s">
        <v>1422</v>
      </c>
      <c r="E257" s="745" t="s">
        <v>816</v>
      </c>
      <c r="F257" s="745" t="s">
        <v>2797</v>
      </c>
      <c r="G257" s="743" t="s">
        <v>2759</v>
      </c>
      <c r="H257" s="744" t="s">
        <v>444</v>
      </c>
      <c r="I257" s="2030" t="s">
        <v>1269</v>
      </c>
      <c r="J257" s="731" t="s">
        <v>61</v>
      </c>
      <c r="K257" s="732"/>
      <c r="L257" s="729"/>
      <c r="M257" s="730"/>
      <c r="N257" s="1179" t="s">
        <v>60</v>
      </c>
      <c r="O257" s="1179" t="s">
        <v>2767</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345</v>
      </c>
      <c r="D258" s="707" t="s">
        <v>1289</v>
      </c>
      <c r="E258" s="742" t="s">
        <v>346</v>
      </c>
      <c r="F258" s="742" t="s">
        <v>2796</v>
      </c>
      <c r="G258" s="743" t="s">
        <v>696</v>
      </c>
      <c r="H258" s="744" t="s">
        <v>443</v>
      </c>
      <c r="I258" s="2031" t="s">
        <v>2782</v>
      </c>
      <c r="J258" s="731" t="s">
        <v>63</v>
      </c>
      <c r="K258" s="732"/>
      <c r="L258" s="729"/>
      <c r="M258" s="730"/>
      <c r="N258" s="1179" t="s">
        <v>62</v>
      </c>
      <c r="O258" s="1179" t="s">
        <v>376</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347</v>
      </c>
      <c r="D259" s="707" t="s">
        <v>1422</v>
      </c>
      <c r="E259" s="742" t="s">
        <v>348</v>
      </c>
      <c r="F259" s="742" t="s">
        <v>2796</v>
      </c>
      <c r="G259" s="743" t="s">
        <v>279</v>
      </c>
      <c r="H259" s="744" t="s">
        <v>443</v>
      </c>
      <c r="I259" s="2031" t="s">
        <v>2782</v>
      </c>
      <c r="J259" s="731" t="s">
        <v>370</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349</v>
      </c>
      <c r="D260" s="707" t="s">
        <v>1289</v>
      </c>
      <c r="E260" s="742" t="s">
        <v>350</v>
      </c>
      <c r="F260" s="742" t="s">
        <v>2796</v>
      </c>
      <c r="G260" s="743" t="s">
        <v>280</v>
      </c>
      <c r="H260" s="744" t="s">
        <v>443</v>
      </c>
      <c r="I260" s="2031" t="s">
        <v>2782</v>
      </c>
      <c r="J260" s="731" t="s">
        <v>372</v>
      </c>
      <c r="K260" s="732"/>
      <c r="L260" s="729"/>
      <c r="M260" s="730"/>
      <c r="N260" s="1179" t="s">
        <v>371</v>
      </c>
      <c r="O260" s="1179" t="s">
        <v>2326</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351</v>
      </c>
      <c r="D261" s="707" t="s">
        <v>1289</v>
      </c>
      <c r="E261" s="742" t="s">
        <v>352</v>
      </c>
      <c r="F261" s="742" t="s">
        <v>2796</v>
      </c>
      <c r="G261" s="743" t="s">
        <v>281</v>
      </c>
      <c r="H261" s="744" t="s">
        <v>443</v>
      </c>
      <c r="I261" s="2031" t="s">
        <v>2782</v>
      </c>
      <c r="J261" s="731" t="s">
        <v>374</v>
      </c>
      <c r="K261" s="732"/>
      <c r="L261" s="729"/>
      <c r="M261" s="730"/>
      <c r="N261" s="1179" t="s">
        <v>373</v>
      </c>
      <c r="O261" s="1179" t="s">
        <v>1011</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450</v>
      </c>
      <c r="D262" s="707" t="s">
        <v>1422</v>
      </c>
      <c r="E262" s="745" t="s">
        <v>1407</v>
      </c>
      <c r="F262" s="745" t="s">
        <v>2797</v>
      </c>
      <c r="G262" s="743" t="s">
        <v>2762</v>
      </c>
      <c r="H262" s="744" t="s">
        <v>444</v>
      </c>
      <c r="I262" s="2031" t="s">
        <v>2782</v>
      </c>
      <c r="J262" s="731" t="s">
        <v>2438</v>
      </c>
      <c r="K262" s="732"/>
      <c r="L262" s="729"/>
      <c r="M262" s="730"/>
      <c r="N262" s="1179" t="s">
        <v>375</v>
      </c>
      <c r="O262" s="1179" t="s">
        <v>1157</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451</v>
      </c>
      <c r="D263" s="707" t="s">
        <v>1422</v>
      </c>
      <c r="E263" s="745" t="s">
        <v>819</v>
      </c>
      <c r="F263" s="745" t="s">
        <v>2797</v>
      </c>
      <c r="G263" s="743" t="s">
        <v>282</v>
      </c>
      <c r="H263" s="744" t="s">
        <v>444</v>
      </c>
      <c r="I263" s="2031" t="s">
        <v>2782</v>
      </c>
      <c r="J263" s="731" t="s">
        <v>2440</v>
      </c>
      <c r="K263" s="732"/>
      <c r="L263" s="729"/>
      <c r="M263" s="730"/>
      <c r="N263" s="1179" t="s">
        <v>672</v>
      </c>
      <c r="O263" s="1179" t="s">
        <v>1550</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1549</v>
      </c>
      <c r="D264" s="707" t="s">
        <v>1289</v>
      </c>
      <c r="E264" s="742" t="s">
        <v>1816</v>
      </c>
      <c r="F264" s="742" t="s">
        <v>2797</v>
      </c>
      <c r="G264" s="743" t="s">
        <v>2765</v>
      </c>
      <c r="H264" s="744" t="s">
        <v>444</v>
      </c>
      <c r="I264" s="2031" t="s">
        <v>2782</v>
      </c>
      <c r="J264" s="731" t="s">
        <v>2441</v>
      </c>
      <c r="K264" s="732"/>
      <c r="L264" s="729"/>
      <c r="M264" s="730"/>
      <c r="N264" s="1179" t="s">
        <v>2439</v>
      </c>
      <c r="O264" s="1179" t="s">
        <v>716</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1550</v>
      </c>
      <c r="D265" s="707" t="s">
        <v>1289</v>
      </c>
      <c r="E265" s="742" t="s">
        <v>1551</v>
      </c>
      <c r="F265" s="742" t="s">
        <v>2796</v>
      </c>
      <c r="G265" s="743" t="s">
        <v>283</v>
      </c>
      <c r="H265" s="744" t="s">
        <v>443</v>
      </c>
      <c r="I265" s="2031" t="s">
        <v>2782</v>
      </c>
      <c r="J265" s="731" t="s">
        <v>2442</v>
      </c>
      <c r="K265" s="732"/>
      <c r="L265" s="729"/>
      <c r="M265" s="730"/>
      <c r="N265" s="1179" t="s">
        <v>1419</v>
      </c>
      <c r="O265" s="1179" t="s">
        <v>714</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1552</v>
      </c>
      <c r="D266" s="707" t="s">
        <v>1289</v>
      </c>
      <c r="E266" s="745" t="s">
        <v>1907</v>
      </c>
      <c r="F266" s="745" t="s">
        <v>2797</v>
      </c>
      <c r="G266" s="743" t="s">
        <v>1232</v>
      </c>
      <c r="H266" s="744" t="s">
        <v>444</v>
      </c>
      <c r="I266" s="2031" t="s">
        <v>2782</v>
      </c>
      <c r="J266" s="731" t="s">
        <v>1668</v>
      </c>
      <c r="K266" s="732"/>
      <c r="L266" s="729"/>
      <c r="M266" s="730"/>
      <c r="N266" s="1179" t="s">
        <v>3488</v>
      </c>
      <c r="O266" s="1179" t="s">
        <v>716</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1553</v>
      </c>
      <c r="D267" s="707" t="s">
        <v>1289</v>
      </c>
      <c r="E267" s="742" t="s">
        <v>820</v>
      </c>
      <c r="F267" s="742" t="s">
        <v>2797</v>
      </c>
      <c r="G267" s="743" t="s">
        <v>284</v>
      </c>
      <c r="H267" s="744" t="s">
        <v>444</v>
      </c>
      <c r="I267" s="2031" t="s">
        <v>1269</v>
      </c>
      <c r="J267" s="731" t="s">
        <v>1670</v>
      </c>
      <c r="K267" s="732"/>
      <c r="L267" s="729"/>
      <c r="M267" s="730"/>
      <c r="N267" s="1179" t="s">
        <v>2443</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1554</v>
      </c>
      <c r="D268" s="707" t="s">
        <v>1422</v>
      </c>
      <c r="E268" s="742" t="s">
        <v>1555</v>
      </c>
      <c r="F268" s="742" t="s">
        <v>2796</v>
      </c>
      <c r="G268" s="743" t="s">
        <v>2696</v>
      </c>
      <c r="H268" s="744" t="s">
        <v>443</v>
      </c>
      <c r="I268" s="2031" t="s">
        <v>2782</v>
      </c>
      <c r="J268" s="731" t="s">
        <v>1672</v>
      </c>
      <c r="K268" s="732"/>
      <c r="L268" s="729"/>
      <c r="M268" s="730"/>
      <c r="N268" s="1179" t="s">
        <v>1669</v>
      </c>
      <c r="O268" s="1179" t="s">
        <v>1745</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1556</v>
      </c>
      <c r="D269" s="707" t="s">
        <v>1289</v>
      </c>
      <c r="E269" s="742" t="s">
        <v>1557</v>
      </c>
      <c r="F269" s="742" t="s">
        <v>2797</v>
      </c>
      <c r="G269" s="743" t="s">
        <v>741</v>
      </c>
      <c r="H269" s="744" t="s">
        <v>444</v>
      </c>
      <c r="I269" s="2031" t="s">
        <v>2782</v>
      </c>
      <c r="J269" s="731" t="s">
        <v>1674</v>
      </c>
      <c r="K269" s="732"/>
      <c r="L269" s="729"/>
      <c r="M269" s="730"/>
      <c r="N269" s="1179" t="s">
        <v>2747</v>
      </c>
      <c r="O269" s="1179" t="s">
        <v>670</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183</v>
      </c>
      <c r="D270" s="707" t="s">
        <v>1289</v>
      </c>
      <c r="E270" s="742" t="s">
        <v>1816</v>
      </c>
      <c r="F270" s="742" t="s">
        <v>2797</v>
      </c>
      <c r="G270" s="743" t="s">
        <v>2765</v>
      </c>
      <c r="H270" s="744" t="s">
        <v>444</v>
      </c>
      <c r="I270" s="2031" t="s">
        <v>1269</v>
      </c>
      <c r="J270" s="731" t="s">
        <v>1676</v>
      </c>
      <c r="K270" s="732"/>
      <c r="L270" s="729"/>
      <c r="M270" s="730"/>
      <c r="N270" s="1179" t="s">
        <v>1671</v>
      </c>
      <c r="O270" s="1179" t="s">
        <v>707</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184</v>
      </c>
      <c r="D271" s="707" t="s">
        <v>1398</v>
      </c>
      <c r="E271" s="745" t="s">
        <v>185</v>
      </c>
      <c r="F271" s="745" t="s">
        <v>2796</v>
      </c>
      <c r="G271" s="743" t="s">
        <v>742</v>
      </c>
      <c r="H271" s="744" t="s">
        <v>443</v>
      </c>
      <c r="I271" s="2031" t="s">
        <v>2782</v>
      </c>
      <c r="J271" s="731" t="s">
        <v>1866</v>
      </c>
      <c r="K271" s="732"/>
      <c r="L271" s="729"/>
      <c r="M271" s="730"/>
      <c r="N271" s="1179" t="s">
        <v>3489</v>
      </c>
      <c r="O271" s="1179" t="s">
        <v>2391</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1407</v>
      </c>
      <c r="D272" s="707" t="s">
        <v>1422</v>
      </c>
      <c r="E272" s="742" t="s">
        <v>186</v>
      </c>
      <c r="F272" s="742" t="s">
        <v>2796</v>
      </c>
      <c r="G272" s="743" t="s">
        <v>743</v>
      </c>
      <c r="H272" s="744" t="s">
        <v>443</v>
      </c>
      <c r="I272" s="2031" t="s">
        <v>2782</v>
      </c>
      <c r="J272" s="731" t="s">
        <v>1868</v>
      </c>
      <c r="K272" s="732"/>
      <c r="L272" s="729"/>
      <c r="M272" s="730"/>
      <c r="N272" s="1179" t="s">
        <v>1673</v>
      </c>
      <c r="O272" s="1179" t="s">
        <v>172</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187</v>
      </c>
      <c r="D273" s="707" t="s">
        <v>1422</v>
      </c>
      <c r="E273" s="742" t="s">
        <v>2182</v>
      </c>
      <c r="F273" s="742" t="s">
        <v>2797</v>
      </c>
      <c r="G273" s="743" t="s">
        <v>662</v>
      </c>
      <c r="H273" s="744" t="s">
        <v>444</v>
      </c>
      <c r="I273" s="2031" t="s">
        <v>2782</v>
      </c>
      <c r="J273" s="731" t="s">
        <v>1870</v>
      </c>
      <c r="K273" s="732"/>
      <c r="L273" s="729"/>
      <c r="M273" s="730"/>
      <c r="N273" s="1179" t="s">
        <v>1675</v>
      </c>
      <c r="O273" s="1179" t="s">
        <v>1400</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376</v>
      </c>
      <c r="D274" s="707" t="s">
        <v>1422</v>
      </c>
      <c r="E274" s="745" t="s">
        <v>169</v>
      </c>
      <c r="F274" s="745" t="s">
        <v>2797</v>
      </c>
      <c r="G274" s="743" t="s">
        <v>1802</v>
      </c>
      <c r="H274" s="744" t="s">
        <v>444</v>
      </c>
      <c r="I274" s="2031" t="s">
        <v>2782</v>
      </c>
      <c r="J274" s="731" t="s">
        <v>1086</v>
      </c>
      <c r="K274" s="732"/>
      <c r="L274" s="729"/>
      <c r="M274" s="730"/>
      <c r="N274" s="1179" t="s">
        <v>1677</v>
      </c>
      <c r="O274" s="1179" t="s">
        <v>187</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2010</v>
      </c>
      <c r="D275" s="707" t="s">
        <v>1422</v>
      </c>
      <c r="E275" s="745" t="s">
        <v>817</v>
      </c>
      <c r="F275" s="745" t="s">
        <v>2797</v>
      </c>
      <c r="G275" s="743" t="s">
        <v>2781</v>
      </c>
      <c r="H275" s="744" t="s">
        <v>444</v>
      </c>
      <c r="I275" s="2031" t="s">
        <v>2782</v>
      </c>
      <c r="J275" s="731" t="s">
        <v>1087</v>
      </c>
      <c r="K275" s="732"/>
      <c r="L275" s="729"/>
      <c r="M275" s="730"/>
      <c r="N275" s="1179" t="s">
        <v>1867</v>
      </c>
      <c r="O275" s="1179" t="s">
        <v>707</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2011</v>
      </c>
      <c r="D276" s="707" t="s">
        <v>1289</v>
      </c>
      <c r="E276" s="742" t="s">
        <v>12</v>
      </c>
      <c r="F276" s="742" t="s">
        <v>2797</v>
      </c>
      <c r="G276" s="743" t="s">
        <v>2764</v>
      </c>
      <c r="H276" s="744" t="s">
        <v>444</v>
      </c>
      <c r="I276" s="2031" t="s">
        <v>2782</v>
      </c>
      <c r="J276" s="731" t="s">
        <v>250</v>
      </c>
      <c r="K276" s="732"/>
      <c r="L276" s="729"/>
      <c r="M276" s="730"/>
      <c r="N276" s="1179" t="s">
        <v>1869</v>
      </c>
      <c r="O276" s="1179" t="s">
        <v>784</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2012</v>
      </c>
      <c r="D277" s="707" t="s">
        <v>1422</v>
      </c>
      <c r="E277" s="745" t="s">
        <v>821</v>
      </c>
      <c r="F277" s="745" t="s">
        <v>2797</v>
      </c>
      <c r="G277" s="743" t="s">
        <v>744</v>
      </c>
      <c r="H277" s="744" t="s">
        <v>444</v>
      </c>
      <c r="I277" s="2031" t="s">
        <v>2782</v>
      </c>
      <c r="J277" s="731" t="s">
        <v>252</v>
      </c>
      <c r="K277" s="732"/>
      <c r="L277" s="729"/>
      <c r="M277" s="730"/>
      <c r="N277" s="1179" t="s">
        <v>1085</v>
      </c>
      <c r="O277" s="1179" t="s">
        <v>1401</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1743</v>
      </c>
      <c r="D278" s="707" t="s">
        <v>1289</v>
      </c>
      <c r="E278" s="742" t="s">
        <v>1744</v>
      </c>
      <c r="F278" s="742" t="s">
        <v>2796</v>
      </c>
      <c r="G278" s="743" t="s">
        <v>745</v>
      </c>
      <c r="H278" s="744" t="s">
        <v>443</v>
      </c>
      <c r="I278" s="2031" t="s">
        <v>2782</v>
      </c>
      <c r="J278" s="731" t="s">
        <v>1344</v>
      </c>
      <c r="K278" s="732"/>
      <c r="L278" s="729"/>
      <c r="M278" s="730"/>
      <c r="N278" s="1179" t="s">
        <v>1088</v>
      </c>
      <c r="O278" s="1179" t="s">
        <v>705</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1745</v>
      </c>
      <c r="D279" s="707" t="s">
        <v>1289</v>
      </c>
      <c r="E279" s="742" t="s">
        <v>1746</v>
      </c>
      <c r="F279" s="742" t="s">
        <v>2796</v>
      </c>
      <c r="G279" s="743" t="s">
        <v>746</v>
      </c>
      <c r="H279" s="744" t="s">
        <v>443</v>
      </c>
      <c r="I279" s="2031" t="s">
        <v>2782</v>
      </c>
      <c r="J279" s="731" t="s">
        <v>2198</v>
      </c>
      <c r="K279" s="732"/>
      <c r="L279" s="729"/>
      <c r="M279" s="730"/>
      <c r="N279" s="1179" t="s">
        <v>251</v>
      </c>
      <c r="O279" s="1179" t="s">
        <v>2703</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1747</v>
      </c>
      <c r="D280" s="707" t="s">
        <v>1422</v>
      </c>
      <c r="E280" s="745" t="s">
        <v>2181</v>
      </c>
      <c r="F280" s="745" t="s">
        <v>2797</v>
      </c>
      <c r="G280" s="743" t="s">
        <v>747</v>
      </c>
      <c r="H280" s="744" t="s">
        <v>444</v>
      </c>
      <c r="I280" s="2031" t="s">
        <v>2782</v>
      </c>
      <c r="J280" s="731" t="s">
        <v>2200</v>
      </c>
      <c r="K280" s="732"/>
      <c r="L280" s="729"/>
      <c r="M280" s="730"/>
      <c r="N280" s="1179" t="s">
        <v>3490</v>
      </c>
      <c r="O280" s="1179" t="s">
        <v>930</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192</v>
      </c>
      <c r="D281" s="707" t="s">
        <v>1289</v>
      </c>
      <c r="E281" s="742" t="s">
        <v>193</v>
      </c>
      <c r="F281" s="742" t="s">
        <v>2796</v>
      </c>
      <c r="G281" s="743" t="s">
        <v>748</v>
      </c>
      <c r="H281" s="744" t="s">
        <v>443</v>
      </c>
      <c r="I281" s="2031" t="s">
        <v>2782</v>
      </c>
      <c r="J281" s="731" t="s">
        <v>2202</v>
      </c>
      <c r="K281" s="732"/>
      <c r="L281" s="729"/>
      <c r="M281" s="730"/>
      <c r="N281" s="707" t="s">
        <v>1882</v>
      </c>
      <c r="O281" s="707" t="s">
        <v>1163</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2767</v>
      </c>
      <c r="D282" s="707" t="s">
        <v>1422</v>
      </c>
      <c r="E282" s="745" t="s">
        <v>2768</v>
      </c>
      <c r="F282" s="745" t="s">
        <v>2796</v>
      </c>
      <c r="G282" s="743" t="s">
        <v>749</v>
      </c>
      <c r="H282" s="744" t="s">
        <v>443</v>
      </c>
      <c r="I282" s="2031" t="s">
        <v>2782</v>
      </c>
      <c r="J282" s="731" t="s">
        <v>2204</v>
      </c>
      <c r="K282" s="732"/>
      <c r="L282" s="729"/>
      <c r="M282" s="730"/>
      <c r="N282" s="1179" t="s">
        <v>2199</v>
      </c>
      <c r="O282" s="1179" t="s">
        <v>339</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2769</v>
      </c>
      <c r="D283" s="707" t="s">
        <v>1398</v>
      </c>
      <c r="E283" s="742" t="s">
        <v>2770</v>
      </c>
      <c r="F283" s="742" t="s">
        <v>2797</v>
      </c>
      <c r="G283" s="743" t="s">
        <v>2087</v>
      </c>
      <c r="H283" s="744" t="s">
        <v>444</v>
      </c>
      <c r="I283" s="2031" t="s">
        <v>2782</v>
      </c>
      <c r="J283" s="731" t="s">
        <v>2206</v>
      </c>
      <c r="K283" s="732"/>
      <c r="L283" s="729"/>
      <c r="M283" s="730"/>
      <c r="N283" s="1179" t="s">
        <v>2201</v>
      </c>
      <c r="O283" s="1179" t="s">
        <v>337</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2771</v>
      </c>
      <c r="D284" s="707" t="s">
        <v>1422</v>
      </c>
      <c r="E284" s="745" t="s">
        <v>169</v>
      </c>
      <c r="F284" s="745" t="s">
        <v>2797</v>
      </c>
      <c r="G284" s="743" t="s">
        <v>1802</v>
      </c>
      <c r="H284" s="744" t="s">
        <v>444</v>
      </c>
      <c r="I284" s="2031" t="s">
        <v>1269</v>
      </c>
      <c r="J284" s="731" t="s">
        <v>2208</v>
      </c>
      <c r="K284" s="732"/>
      <c r="L284" s="729"/>
      <c r="M284" s="730"/>
      <c r="N284" s="1179" t="s">
        <v>2203</v>
      </c>
      <c r="O284" s="1179" t="s">
        <v>670</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2772</v>
      </c>
      <c r="D285" s="707" t="s">
        <v>1422</v>
      </c>
      <c r="E285" s="745" t="s">
        <v>816</v>
      </c>
      <c r="F285" s="745" t="s">
        <v>2797</v>
      </c>
      <c r="G285" s="743" t="s">
        <v>2759</v>
      </c>
      <c r="H285" s="744" t="s">
        <v>444</v>
      </c>
      <c r="I285" s="2030" t="s">
        <v>1269</v>
      </c>
      <c r="J285" s="731" t="s">
        <v>722</v>
      </c>
      <c r="K285" s="732"/>
      <c r="L285" s="729"/>
      <c r="M285" s="730"/>
      <c r="N285" s="1179" t="s">
        <v>2205</v>
      </c>
      <c r="O285" s="1179" t="s">
        <v>2769</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2773</v>
      </c>
      <c r="D286" s="707" t="s">
        <v>1422</v>
      </c>
      <c r="E286" s="742" t="s">
        <v>2182</v>
      </c>
      <c r="F286" s="742" t="s">
        <v>2797</v>
      </c>
      <c r="G286" s="743" t="s">
        <v>662</v>
      </c>
      <c r="H286" s="744" t="s">
        <v>444</v>
      </c>
      <c r="I286" s="2031" t="s">
        <v>2782</v>
      </c>
      <c r="J286" s="731" t="s">
        <v>2479</v>
      </c>
      <c r="K286" s="732"/>
      <c r="L286" s="729"/>
      <c r="M286" s="730"/>
      <c r="N286" s="1179" t="s">
        <v>736</v>
      </c>
      <c r="O286" s="1179" t="s">
        <v>1284</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2774</v>
      </c>
      <c r="D287" s="707" t="s">
        <v>1422</v>
      </c>
      <c r="E287" s="742" t="s">
        <v>2182</v>
      </c>
      <c r="F287" s="742" t="s">
        <v>2797</v>
      </c>
      <c r="G287" s="743" t="s">
        <v>662</v>
      </c>
      <c r="H287" s="744" t="s">
        <v>444</v>
      </c>
      <c r="I287" s="2031" t="s">
        <v>2782</v>
      </c>
      <c r="J287" s="731" t="s">
        <v>2480</v>
      </c>
      <c r="K287" s="732"/>
      <c r="L287" s="729"/>
      <c r="M287" s="730"/>
      <c r="N287" s="1179" t="s">
        <v>2748</v>
      </c>
      <c r="O287" s="1179" t="s">
        <v>2144</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2775</v>
      </c>
      <c r="D288" s="707" t="s">
        <v>1398</v>
      </c>
      <c r="E288" s="745" t="s">
        <v>816</v>
      </c>
      <c r="F288" s="745" t="s">
        <v>2797</v>
      </c>
      <c r="G288" s="743" t="s">
        <v>2759</v>
      </c>
      <c r="H288" s="744" t="s">
        <v>444</v>
      </c>
      <c r="I288" s="2030" t="s">
        <v>1269</v>
      </c>
      <c r="J288" s="731" t="s">
        <v>1325</v>
      </c>
      <c r="K288" s="732"/>
      <c r="L288" s="729"/>
      <c r="M288" s="730"/>
      <c r="N288" s="1179" t="s">
        <v>2207</v>
      </c>
      <c r="O288" s="1179" t="s">
        <v>208</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1157</v>
      </c>
      <c r="D289" s="707" t="s">
        <v>1422</v>
      </c>
      <c r="E289" s="745" t="s">
        <v>1158</v>
      </c>
      <c r="F289" s="745" t="s">
        <v>2796</v>
      </c>
      <c r="G289" s="743" t="s">
        <v>2088</v>
      </c>
      <c r="H289" s="744" t="s">
        <v>443</v>
      </c>
      <c r="I289" s="2031" t="s">
        <v>2782</v>
      </c>
      <c r="J289" s="731" t="s">
        <v>1327</v>
      </c>
      <c r="K289" s="732"/>
      <c r="L289" s="729"/>
      <c r="M289" s="730"/>
      <c r="N289" s="1179" t="s">
        <v>3491</v>
      </c>
      <c r="O289" s="1179" t="s">
        <v>709</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1159</v>
      </c>
      <c r="D290" s="707" t="s">
        <v>1398</v>
      </c>
      <c r="E290" s="745" t="s">
        <v>816</v>
      </c>
      <c r="F290" s="745" t="s">
        <v>2797</v>
      </c>
      <c r="G290" s="743" t="s">
        <v>2759</v>
      </c>
      <c r="H290" s="744" t="s">
        <v>444</v>
      </c>
      <c r="I290" s="2030" t="s">
        <v>1269</v>
      </c>
      <c r="J290" s="731" t="s">
        <v>1329</v>
      </c>
      <c r="K290" s="732"/>
      <c r="L290" s="729"/>
      <c r="M290" s="730"/>
      <c r="N290" s="1179" t="s">
        <v>2209</v>
      </c>
      <c r="O290" s="1179" t="s">
        <v>208</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1160</v>
      </c>
      <c r="D291" s="707" t="s">
        <v>1289</v>
      </c>
      <c r="E291" s="742" t="s">
        <v>1161</v>
      </c>
      <c r="F291" s="742" t="s">
        <v>2796</v>
      </c>
      <c r="G291" s="743" t="s">
        <v>2089</v>
      </c>
      <c r="H291" s="744" t="s">
        <v>443</v>
      </c>
      <c r="I291" s="2031" t="s">
        <v>2782</v>
      </c>
      <c r="J291" s="731" t="s">
        <v>1330</v>
      </c>
      <c r="K291" s="732"/>
      <c r="L291" s="729"/>
      <c r="M291" s="730"/>
      <c r="N291" s="1179" t="s">
        <v>723</v>
      </c>
      <c r="O291" s="1179" t="s">
        <v>2144</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1162</v>
      </c>
      <c r="D292" s="707" t="s">
        <v>1422</v>
      </c>
      <c r="E292" s="745" t="s">
        <v>816</v>
      </c>
      <c r="F292" s="745" t="s">
        <v>2797</v>
      </c>
      <c r="G292" s="743" t="s">
        <v>2759</v>
      </c>
      <c r="H292" s="744" t="s">
        <v>444</v>
      </c>
      <c r="I292" s="2030" t="s">
        <v>1269</v>
      </c>
      <c r="J292" s="731" t="s">
        <v>1332</v>
      </c>
      <c r="K292" s="732"/>
      <c r="L292" s="729"/>
      <c r="M292" s="730"/>
      <c r="N292" s="1179" t="s">
        <v>2481</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1163</v>
      </c>
      <c r="D293" s="707" t="s">
        <v>1398</v>
      </c>
      <c r="E293" s="742" t="s">
        <v>1164</v>
      </c>
      <c r="F293" s="742" t="s">
        <v>2796</v>
      </c>
      <c r="G293" s="743" t="s">
        <v>2090</v>
      </c>
      <c r="H293" s="744" t="s">
        <v>443</v>
      </c>
      <c r="I293" s="2031" t="s">
        <v>2782</v>
      </c>
      <c r="J293" s="731" t="s">
        <v>2663</v>
      </c>
      <c r="K293" s="732"/>
      <c r="L293" s="729"/>
      <c r="M293" s="730"/>
      <c r="N293" s="1179" t="s">
        <v>1326</v>
      </c>
      <c r="O293" s="1179" t="s">
        <v>670</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1165</v>
      </c>
      <c r="D294" s="707" t="s">
        <v>1289</v>
      </c>
      <c r="E294" s="745" t="s">
        <v>1166</v>
      </c>
      <c r="F294" s="745" t="s">
        <v>2796</v>
      </c>
      <c r="G294" s="743" t="s">
        <v>2091</v>
      </c>
      <c r="H294" s="744" t="s">
        <v>443</v>
      </c>
      <c r="I294" s="2031" t="s">
        <v>2782</v>
      </c>
      <c r="J294" s="731" t="s">
        <v>85</v>
      </c>
      <c r="K294" s="732"/>
      <c r="L294" s="729"/>
      <c r="M294" s="730"/>
      <c r="N294" s="1179" t="s">
        <v>1328</v>
      </c>
      <c r="O294" s="1179" t="s">
        <v>2393</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1167</v>
      </c>
      <c r="D295" s="707" t="s">
        <v>1422</v>
      </c>
      <c r="E295" s="745" t="s">
        <v>1168</v>
      </c>
      <c r="F295" s="745" t="s">
        <v>2796</v>
      </c>
      <c r="G295" s="743" t="s">
        <v>2092</v>
      </c>
      <c r="H295" s="744" t="s">
        <v>443</v>
      </c>
      <c r="I295" s="2031" t="s">
        <v>2782</v>
      </c>
      <c r="J295" s="731" t="s">
        <v>86</v>
      </c>
      <c r="K295" s="732"/>
      <c r="L295" s="729"/>
      <c r="M295" s="730"/>
      <c r="N295" s="1179" t="s">
        <v>2652</v>
      </c>
      <c r="O295" s="1179" t="s">
        <v>1171</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1169</v>
      </c>
      <c r="D296" s="707" t="s">
        <v>1289</v>
      </c>
      <c r="E296" s="742" t="s">
        <v>1170</v>
      </c>
      <c r="F296" s="742" t="s">
        <v>2796</v>
      </c>
      <c r="G296" s="743" t="s">
        <v>1909</v>
      </c>
      <c r="H296" s="744" t="s">
        <v>443</v>
      </c>
      <c r="I296" s="2031" t="s">
        <v>2782</v>
      </c>
      <c r="J296" s="731" t="s">
        <v>87</v>
      </c>
      <c r="K296" s="732"/>
      <c r="L296" s="729"/>
      <c r="M296" s="730"/>
      <c r="N296" s="1179" t="s">
        <v>1331</v>
      </c>
      <c r="O296" s="1179" t="s">
        <v>330</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1171</v>
      </c>
      <c r="D297" s="707" t="s">
        <v>1398</v>
      </c>
      <c r="E297" s="742" t="s">
        <v>1172</v>
      </c>
      <c r="F297" s="742" t="s">
        <v>2796</v>
      </c>
      <c r="G297" s="743" t="s">
        <v>1910</v>
      </c>
      <c r="H297" s="744" t="s">
        <v>443</v>
      </c>
      <c r="I297" s="2031" t="s">
        <v>2782</v>
      </c>
      <c r="J297" s="731" t="s">
        <v>89</v>
      </c>
      <c r="K297" s="732"/>
      <c r="L297" s="729"/>
      <c r="M297" s="730"/>
      <c r="N297" s="1179" t="s">
        <v>2662</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1173</v>
      </c>
      <c r="D298" s="707" t="s">
        <v>1289</v>
      </c>
      <c r="E298" s="742" t="s">
        <v>1174</v>
      </c>
      <c r="F298" s="742" t="s">
        <v>2796</v>
      </c>
      <c r="G298" s="743" t="s">
        <v>1911</v>
      </c>
      <c r="H298" s="744" t="s">
        <v>443</v>
      </c>
      <c r="I298" s="2031" t="s">
        <v>2782</v>
      </c>
      <c r="J298" s="731" t="s">
        <v>1305</v>
      </c>
      <c r="K298" s="732"/>
      <c r="L298" s="729"/>
      <c r="M298" s="730"/>
      <c r="N298" s="1179" t="s">
        <v>84</v>
      </c>
      <c r="O298" s="1179" t="s">
        <v>205</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1175</v>
      </c>
      <c r="D299" s="707" t="s">
        <v>1422</v>
      </c>
      <c r="E299" s="745" t="s">
        <v>817</v>
      </c>
      <c r="F299" s="745" t="s">
        <v>2797</v>
      </c>
      <c r="G299" s="743" t="s">
        <v>2781</v>
      </c>
      <c r="H299" s="744" t="s">
        <v>444</v>
      </c>
      <c r="I299" s="2031" t="s">
        <v>1269</v>
      </c>
      <c r="J299" s="731" t="s">
        <v>1307</v>
      </c>
      <c r="K299" s="732"/>
      <c r="L299" s="729"/>
      <c r="M299" s="730"/>
      <c r="N299" s="1179" t="s">
        <v>88</v>
      </c>
      <c r="O299" s="1179" t="s">
        <v>2324</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1176</v>
      </c>
      <c r="D300" s="707" t="s">
        <v>1422</v>
      </c>
      <c r="E300" s="745" t="s">
        <v>816</v>
      </c>
      <c r="F300" s="745" t="s">
        <v>2797</v>
      </c>
      <c r="G300" s="743" t="s">
        <v>2759</v>
      </c>
      <c r="H300" s="744" t="s">
        <v>444</v>
      </c>
      <c r="I300" s="2030" t="s">
        <v>1269</v>
      </c>
      <c r="J300" s="731" t="s">
        <v>1309</v>
      </c>
      <c r="K300" s="732"/>
      <c r="L300" s="729"/>
      <c r="M300" s="730"/>
      <c r="N300" s="1179" t="s">
        <v>90</v>
      </c>
      <c r="O300" s="1179" t="s">
        <v>1408</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1177</v>
      </c>
      <c r="D301" s="707" t="s">
        <v>1422</v>
      </c>
      <c r="E301" s="742" t="s">
        <v>2308</v>
      </c>
      <c r="F301" s="742" t="s">
        <v>2796</v>
      </c>
      <c r="G301" s="743" t="s">
        <v>1912</v>
      </c>
      <c r="H301" s="744" t="s">
        <v>443</v>
      </c>
      <c r="I301" s="2031" t="s">
        <v>2782</v>
      </c>
      <c r="J301" s="731" t="s">
        <v>1311</v>
      </c>
      <c r="K301" s="732"/>
      <c r="L301" s="729"/>
      <c r="M301" s="730"/>
      <c r="N301" s="1179" t="s">
        <v>1306</v>
      </c>
      <c r="O301" s="1179" t="s">
        <v>2085</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2309</v>
      </c>
      <c r="D302" s="707" t="s">
        <v>1289</v>
      </c>
      <c r="E302" s="742" t="s">
        <v>2310</v>
      </c>
      <c r="F302" s="742" t="s">
        <v>2796</v>
      </c>
      <c r="G302" s="743" t="s">
        <v>1913</v>
      </c>
      <c r="H302" s="744" t="s">
        <v>443</v>
      </c>
      <c r="I302" s="2031" t="s">
        <v>2782</v>
      </c>
      <c r="J302" s="731" t="s">
        <v>1313</v>
      </c>
      <c r="K302" s="732"/>
      <c r="L302" s="729"/>
      <c r="M302" s="730"/>
      <c r="N302" s="1179" t="s">
        <v>1308</v>
      </c>
      <c r="O302" s="1179" t="s">
        <v>187</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1718</v>
      </c>
      <c r="D303" s="707" t="s">
        <v>1718</v>
      </c>
      <c r="E303" s="730" t="s">
        <v>1718</v>
      </c>
      <c r="F303" s="742"/>
      <c r="G303" s="743"/>
      <c r="H303" s="744"/>
      <c r="I303" s="2031" t="s">
        <v>3212</v>
      </c>
      <c r="J303" s="731" t="s">
        <v>1315</v>
      </c>
      <c r="K303" s="732"/>
      <c r="L303" s="729"/>
      <c r="M303" s="730"/>
      <c r="N303" s="1179" t="s">
        <v>1310</v>
      </c>
      <c r="O303" s="1179" t="s">
        <v>1173</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2311</v>
      </c>
      <c r="D304" s="707" t="s">
        <v>1289</v>
      </c>
      <c r="E304" s="745" t="s">
        <v>2312</v>
      </c>
      <c r="F304" s="742" t="s">
        <v>2796</v>
      </c>
      <c r="G304" s="743" t="s">
        <v>481</v>
      </c>
      <c r="H304" s="744" t="s">
        <v>443</v>
      </c>
      <c r="I304" s="2031" t="s">
        <v>2782</v>
      </c>
      <c r="J304" s="731" t="s">
        <v>948</v>
      </c>
      <c r="K304" s="732"/>
      <c r="L304" s="729"/>
      <c r="M304" s="730"/>
      <c r="N304" s="707" t="s">
        <v>1312</v>
      </c>
      <c r="O304" s="707" t="s">
        <v>1284</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2313</v>
      </c>
      <c r="D305" s="707" t="s">
        <v>1422</v>
      </c>
      <c r="E305" s="745" t="s">
        <v>816</v>
      </c>
      <c r="F305" s="745" t="s">
        <v>2797</v>
      </c>
      <c r="G305" s="743" t="s">
        <v>2759</v>
      </c>
      <c r="H305" s="744" t="s">
        <v>444</v>
      </c>
      <c r="I305" s="2030" t="s">
        <v>1269</v>
      </c>
      <c r="J305" s="731" t="s">
        <v>949</v>
      </c>
      <c r="K305" s="732"/>
      <c r="L305" s="729"/>
      <c r="M305" s="730"/>
      <c r="N305" s="1179" t="s">
        <v>1314</v>
      </c>
      <c r="O305" s="1179" t="s">
        <v>2324</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2314</v>
      </c>
      <c r="D306" s="707" t="s">
        <v>1398</v>
      </c>
      <c r="E306" s="745" t="s">
        <v>2315</v>
      </c>
      <c r="F306" s="745" t="s">
        <v>2796</v>
      </c>
      <c r="G306" s="743" t="s">
        <v>233</v>
      </c>
      <c r="H306" s="744" t="s">
        <v>443</v>
      </c>
      <c r="I306" s="2031" t="s">
        <v>2782</v>
      </c>
      <c r="J306" s="731" t="s">
        <v>951</v>
      </c>
      <c r="K306" s="732"/>
      <c r="L306" s="729"/>
      <c r="M306" s="730"/>
      <c r="N306" s="1179" t="s">
        <v>2658</v>
      </c>
      <c r="O306" s="1179" t="s">
        <v>1743</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2316</v>
      </c>
      <c r="D307" s="707" t="s">
        <v>1289</v>
      </c>
      <c r="E307" s="742" t="s">
        <v>2317</v>
      </c>
      <c r="F307" s="745" t="s">
        <v>2796</v>
      </c>
      <c r="G307" s="743" t="s">
        <v>1515</v>
      </c>
      <c r="H307" s="744" t="s">
        <v>443</v>
      </c>
      <c r="I307" s="2031" t="s">
        <v>2782</v>
      </c>
      <c r="J307" s="731" t="s">
        <v>953</v>
      </c>
      <c r="K307" s="732"/>
      <c r="L307" s="729"/>
      <c r="M307" s="730"/>
      <c r="N307" s="1179" t="s">
        <v>169</v>
      </c>
      <c r="O307" s="1179" t="s">
        <v>2771</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2318</v>
      </c>
      <c r="D308" s="707" t="s">
        <v>1289</v>
      </c>
      <c r="E308" s="742" t="s">
        <v>2319</v>
      </c>
      <c r="F308" s="742" t="s">
        <v>2796</v>
      </c>
      <c r="G308" s="743" t="s">
        <v>1516</v>
      </c>
      <c r="H308" s="744" t="s">
        <v>443</v>
      </c>
      <c r="I308" s="2031" t="s">
        <v>2782</v>
      </c>
      <c r="J308" s="731" t="s">
        <v>2277</v>
      </c>
      <c r="K308" s="732"/>
      <c r="L308" s="729"/>
      <c r="M308" s="730"/>
      <c r="N308" s="1179" t="s">
        <v>950</v>
      </c>
      <c r="O308" s="1179" t="s">
        <v>187</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2320</v>
      </c>
      <c r="D309" s="707" t="s">
        <v>1422</v>
      </c>
      <c r="E309" s="742" t="s">
        <v>2321</v>
      </c>
      <c r="F309" s="742" t="s">
        <v>2796</v>
      </c>
      <c r="G309" s="743" t="s">
        <v>1517</v>
      </c>
      <c r="H309" s="744" t="s">
        <v>443</v>
      </c>
      <c r="I309" s="2031" t="s">
        <v>2782</v>
      </c>
      <c r="J309" s="731" t="s">
        <v>2278</v>
      </c>
      <c r="K309" s="732"/>
      <c r="L309" s="729"/>
      <c r="M309" s="730"/>
      <c r="N309" s="1179" t="s">
        <v>952</v>
      </c>
      <c r="O309" s="1179" t="s">
        <v>342</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2322</v>
      </c>
      <c r="D310" s="707" t="s">
        <v>1422</v>
      </c>
      <c r="E310" s="742" t="s">
        <v>2323</v>
      </c>
      <c r="F310" s="742" t="s">
        <v>2796</v>
      </c>
      <c r="G310" s="743" t="s">
        <v>2149</v>
      </c>
      <c r="H310" s="744" t="s">
        <v>443</v>
      </c>
      <c r="I310" s="2031" t="s">
        <v>2782</v>
      </c>
      <c r="J310" s="731" t="s">
        <v>2194</v>
      </c>
      <c r="K310" s="732"/>
      <c r="L310" s="729"/>
      <c r="M310" s="730"/>
      <c r="N310" s="707" t="s">
        <v>954</v>
      </c>
      <c r="O310" s="707" t="s">
        <v>1162</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2324</v>
      </c>
      <c r="D311" s="707" t="s">
        <v>1289</v>
      </c>
      <c r="E311" s="742" t="s">
        <v>2325</v>
      </c>
      <c r="F311" s="742" t="s">
        <v>2796</v>
      </c>
      <c r="G311" s="743" t="s">
        <v>2150</v>
      </c>
      <c r="H311" s="744" t="s">
        <v>443</v>
      </c>
      <c r="I311" s="2031" t="s">
        <v>2782</v>
      </c>
      <c r="J311" s="731" t="s">
        <v>2196</v>
      </c>
      <c r="K311" s="732"/>
      <c r="L311" s="729"/>
      <c r="M311" s="730"/>
      <c r="N311" s="1179" t="s">
        <v>2749</v>
      </c>
      <c r="O311" s="1179" t="s">
        <v>2652</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2326</v>
      </c>
      <c r="D312" s="707" t="s">
        <v>1422</v>
      </c>
      <c r="E312" s="742" t="s">
        <v>926</v>
      </c>
      <c r="F312" s="742" t="s">
        <v>2796</v>
      </c>
      <c r="G312" s="743" t="s">
        <v>2151</v>
      </c>
      <c r="H312" s="744" t="s">
        <v>443</v>
      </c>
      <c r="I312" s="2031" t="s">
        <v>2782</v>
      </c>
      <c r="J312" s="731" t="s">
        <v>639</v>
      </c>
      <c r="K312" s="732"/>
      <c r="L312" s="729"/>
      <c r="M312" s="730"/>
      <c r="N312" s="1179" t="s">
        <v>2279</v>
      </c>
      <c r="O312" s="1179" t="s">
        <v>1176</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927</v>
      </c>
      <c r="D313" s="707" t="s">
        <v>1289</v>
      </c>
      <c r="E313" s="742" t="s">
        <v>928</v>
      </c>
      <c r="F313" s="742" t="s">
        <v>2796</v>
      </c>
      <c r="G313" s="743" t="s">
        <v>2152</v>
      </c>
      <c r="H313" s="744" t="s">
        <v>443</v>
      </c>
      <c r="I313" s="2031" t="s">
        <v>2782</v>
      </c>
      <c r="J313" s="731" t="s">
        <v>640</v>
      </c>
      <c r="K313" s="732"/>
      <c r="L313" s="729"/>
      <c r="M313" s="730"/>
      <c r="N313" s="1179" t="s">
        <v>2195</v>
      </c>
      <c r="O313" s="1179" t="s">
        <v>1780</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1779</v>
      </c>
      <c r="D314" s="707" t="s">
        <v>1289</v>
      </c>
      <c r="E314" s="745" t="s">
        <v>1907</v>
      </c>
      <c r="F314" s="742" t="s">
        <v>2797</v>
      </c>
      <c r="G314" s="743" t="s">
        <v>1232</v>
      </c>
      <c r="H314" s="744" t="s">
        <v>444</v>
      </c>
      <c r="I314" s="2031" t="s">
        <v>2782</v>
      </c>
      <c r="J314" s="731" t="s">
        <v>642</v>
      </c>
      <c r="K314" s="732"/>
      <c r="L314" s="729"/>
      <c r="M314" s="730"/>
      <c r="N314" s="1179" t="s">
        <v>2197</v>
      </c>
      <c r="O314" s="1179" t="s">
        <v>2707</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1780</v>
      </c>
      <c r="D315" s="707" t="s">
        <v>1289</v>
      </c>
      <c r="E315" s="745" t="s">
        <v>1781</v>
      </c>
      <c r="F315" s="745" t="s">
        <v>2796</v>
      </c>
      <c r="G315" s="743" t="s">
        <v>2153</v>
      </c>
      <c r="H315" s="744" t="s">
        <v>443</v>
      </c>
      <c r="I315" s="2031" t="s">
        <v>2782</v>
      </c>
      <c r="J315" s="731" t="s">
        <v>644</v>
      </c>
      <c r="K315" s="732"/>
      <c r="L315" s="729"/>
      <c r="M315" s="730"/>
      <c r="N315" s="1179" t="s">
        <v>881</v>
      </c>
      <c r="O315" s="1179" t="s">
        <v>337</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1782</v>
      </c>
      <c r="D316" s="707" t="s">
        <v>1289</v>
      </c>
      <c r="E316" s="745" t="s">
        <v>2043</v>
      </c>
      <c r="F316" s="745" t="s">
        <v>2796</v>
      </c>
      <c r="G316" s="743" t="s">
        <v>1237</v>
      </c>
      <c r="H316" s="744" t="s">
        <v>443</v>
      </c>
      <c r="I316" s="2031" t="s">
        <v>2782</v>
      </c>
      <c r="J316" s="731" t="s">
        <v>645</v>
      </c>
      <c r="K316" s="732"/>
      <c r="L316" s="729"/>
      <c r="M316" s="730"/>
      <c r="N316" s="1179" t="s">
        <v>641</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2044</v>
      </c>
      <c r="D317" s="707" t="s">
        <v>1289</v>
      </c>
      <c r="E317" s="745" t="s">
        <v>2045</v>
      </c>
      <c r="F317" s="745" t="s">
        <v>2796</v>
      </c>
      <c r="G317" s="743" t="s">
        <v>1238</v>
      </c>
      <c r="H317" s="744" t="s">
        <v>443</v>
      </c>
      <c r="I317" s="2031" t="s">
        <v>2782</v>
      </c>
      <c r="J317" s="731" t="s">
        <v>646</v>
      </c>
      <c r="K317" s="732"/>
      <c r="L317" s="729"/>
      <c r="M317" s="730"/>
      <c r="N317" s="1179" t="s">
        <v>2750</v>
      </c>
      <c r="O317" s="1179" t="s">
        <v>1414</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2046</v>
      </c>
      <c r="D318" s="707" t="s">
        <v>1398</v>
      </c>
      <c r="E318" s="745" t="s">
        <v>2047</v>
      </c>
      <c r="F318" s="745" t="s">
        <v>2796</v>
      </c>
      <c r="G318" s="743" t="s">
        <v>1239</v>
      </c>
      <c r="H318" s="744" t="s">
        <v>443</v>
      </c>
      <c r="I318" s="2031" t="s">
        <v>2782</v>
      </c>
      <c r="J318" s="731" t="s">
        <v>648</v>
      </c>
      <c r="K318" s="732"/>
      <c r="L318" s="729"/>
      <c r="M318" s="730"/>
      <c r="N318" s="1179" t="s">
        <v>643</v>
      </c>
      <c r="O318" s="1179" t="s">
        <v>2772</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2048</v>
      </c>
      <c r="D319" s="707" t="s">
        <v>1289</v>
      </c>
      <c r="E319" s="745" t="s">
        <v>2049</v>
      </c>
      <c r="F319" s="745" t="s">
        <v>2796</v>
      </c>
      <c r="G319" s="743" t="s">
        <v>1240</v>
      </c>
      <c r="H319" s="744" t="s">
        <v>443</v>
      </c>
      <c r="I319" s="2031" t="s">
        <v>2782</v>
      </c>
      <c r="J319" s="731" t="s">
        <v>650</v>
      </c>
      <c r="K319" s="732"/>
      <c r="L319" s="729"/>
      <c r="M319" s="730"/>
      <c r="N319" s="1179" t="s">
        <v>2706</v>
      </c>
      <c r="O319" s="1179" t="s">
        <v>2774</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2050</v>
      </c>
      <c r="D320" s="707" t="s">
        <v>1422</v>
      </c>
      <c r="E320" s="742" t="s">
        <v>2051</v>
      </c>
      <c r="F320" s="745" t="s">
        <v>2796</v>
      </c>
      <c r="G320" s="743" t="s">
        <v>1241</v>
      </c>
      <c r="H320" s="744" t="s">
        <v>443</v>
      </c>
      <c r="I320" s="2031" t="s">
        <v>2782</v>
      </c>
      <c r="J320" s="731" t="s">
        <v>581</v>
      </c>
      <c r="K320" s="732"/>
      <c r="L320" s="729"/>
      <c r="M320" s="730"/>
      <c r="N320" s="1179" t="s">
        <v>647</v>
      </c>
      <c r="O320" s="1179" t="s">
        <v>2322</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2052</v>
      </c>
      <c r="D321" s="707" t="s">
        <v>1289</v>
      </c>
      <c r="E321" s="745" t="s">
        <v>2053</v>
      </c>
      <c r="F321" s="742" t="s">
        <v>2796</v>
      </c>
      <c r="G321" s="743" t="s">
        <v>1242</v>
      </c>
      <c r="H321" s="744" t="s">
        <v>443</v>
      </c>
      <c r="I321" s="2031" t="s">
        <v>2782</v>
      </c>
      <c r="J321" s="731" t="s">
        <v>1227</v>
      </c>
      <c r="K321" s="732"/>
      <c r="L321" s="729"/>
      <c r="M321" s="730"/>
      <c r="N321" s="1179" t="s">
        <v>3492</v>
      </c>
      <c r="O321" s="1179" t="s">
        <v>1167</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2054</v>
      </c>
      <c r="D322" s="707" t="s">
        <v>1422</v>
      </c>
      <c r="E322" s="745" t="s">
        <v>1407</v>
      </c>
      <c r="F322" s="745" t="s">
        <v>2797</v>
      </c>
      <c r="G322" s="743" t="s">
        <v>2762</v>
      </c>
      <c r="H322" s="744" t="s">
        <v>444</v>
      </c>
      <c r="I322" s="2031" t="s">
        <v>2782</v>
      </c>
      <c r="J322" s="731" t="s">
        <v>798</v>
      </c>
      <c r="K322" s="732"/>
      <c r="L322" s="729"/>
      <c r="M322" s="730"/>
      <c r="N322" s="1179" t="s">
        <v>649</v>
      </c>
      <c r="O322" s="1179" t="s">
        <v>1747</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2055</v>
      </c>
      <c r="D323" s="707" t="s">
        <v>1398</v>
      </c>
      <c r="E323" s="745" t="s">
        <v>2056</v>
      </c>
      <c r="F323" s="745" t="s">
        <v>2796</v>
      </c>
      <c r="G323" s="743" t="s">
        <v>1243</v>
      </c>
      <c r="H323" s="744" t="s">
        <v>443</v>
      </c>
      <c r="I323" s="2031" t="s">
        <v>2782</v>
      </c>
      <c r="J323" s="731" t="s">
        <v>38</v>
      </c>
      <c r="K323" s="732"/>
      <c r="L323" s="729"/>
      <c r="M323" s="730"/>
      <c r="N323" s="1179" t="s">
        <v>580</v>
      </c>
      <c r="O323" s="1179" t="s">
        <v>706</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2142</v>
      </c>
      <c r="D324" s="707" t="s">
        <v>1422</v>
      </c>
      <c r="E324" s="742" t="s">
        <v>2143</v>
      </c>
      <c r="F324" s="745" t="s">
        <v>2796</v>
      </c>
      <c r="G324" s="743" t="s">
        <v>1244</v>
      </c>
      <c r="H324" s="744" t="s">
        <v>443</v>
      </c>
      <c r="I324" s="2031" t="s">
        <v>2782</v>
      </c>
      <c r="J324" s="731" t="s">
        <v>2100</v>
      </c>
      <c r="K324" s="732"/>
      <c r="L324" s="729"/>
      <c r="M324" s="730"/>
      <c r="N324" s="1179" t="s">
        <v>582</v>
      </c>
      <c r="O324" s="1179" t="s">
        <v>168</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2144</v>
      </c>
      <c r="D325" s="707" t="s">
        <v>1398</v>
      </c>
      <c r="E325" s="745" t="s">
        <v>1628</v>
      </c>
      <c r="F325" s="742" t="s">
        <v>2797</v>
      </c>
      <c r="G325" s="743" t="s">
        <v>1800</v>
      </c>
      <c r="H325" s="744" t="s">
        <v>444</v>
      </c>
      <c r="I325" s="2031" t="s">
        <v>2782</v>
      </c>
      <c r="J325" s="731" t="s">
        <v>2102</v>
      </c>
      <c r="K325" s="732"/>
      <c r="L325" s="729"/>
      <c r="M325" s="730"/>
      <c r="N325" s="1179" t="s">
        <v>797</v>
      </c>
      <c r="O325" s="1179" t="s">
        <v>1173</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2145</v>
      </c>
      <c r="D326" s="707" t="s">
        <v>1422</v>
      </c>
      <c r="E326" s="745" t="s">
        <v>816</v>
      </c>
      <c r="F326" s="745" t="s">
        <v>2797</v>
      </c>
      <c r="G326" s="743" t="s">
        <v>2759</v>
      </c>
      <c r="H326" s="744" t="s">
        <v>444</v>
      </c>
      <c r="I326" s="2030" t="s">
        <v>1269</v>
      </c>
      <c r="J326" s="731" t="s">
        <v>353</v>
      </c>
      <c r="K326" s="732"/>
      <c r="L326" s="729"/>
      <c r="M326" s="730"/>
      <c r="N326" s="1179" t="s">
        <v>799</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2146</v>
      </c>
      <c r="D327" s="707" t="s">
        <v>1289</v>
      </c>
      <c r="E327" s="745" t="s">
        <v>106</v>
      </c>
      <c r="F327" s="745" t="s">
        <v>2796</v>
      </c>
      <c r="G327" s="743" t="s">
        <v>1245</v>
      </c>
      <c r="H327" s="744" t="s">
        <v>443</v>
      </c>
      <c r="I327" s="2031" t="s">
        <v>2782</v>
      </c>
      <c r="J327" s="731" t="s">
        <v>355</v>
      </c>
      <c r="K327" s="732"/>
      <c r="L327" s="729"/>
      <c r="M327" s="730"/>
      <c r="N327" s="1179" t="s">
        <v>39</v>
      </c>
      <c r="O327" s="1179" t="s">
        <v>184</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1422</v>
      </c>
      <c r="E328" s="745" t="s">
        <v>108</v>
      </c>
      <c r="F328" s="745" t="s">
        <v>2796</v>
      </c>
      <c r="G328" s="743" t="s">
        <v>1246</v>
      </c>
      <c r="H328" s="744" t="s">
        <v>443</v>
      </c>
      <c r="I328" s="2031" t="s">
        <v>2782</v>
      </c>
      <c r="J328" s="731" t="s">
        <v>357</v>
      </c>
      <c r="K328" s="732"/>
      <c r="L328" s="729"/>
      <c r="M328" s="730"/>
      <c r="N328" s="1179" t="s">
        <v>2101</v>
      </c>
      <c r="O328" s="1179" t="s">
        <v>2393</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1289</v>
      </c>
      <c r="E329" s="745" t="s">
        <v>110</v>
      </c>
      <c r="F329" s="745" t="s">
        <v>2796</v>
      </c>
      <c r="G329" s="743" t="s">
        <v>1247</v>
      </c>
      <c r="H329" s="744" t="s">
        <v>443</v>
      </c>
      <c r="I329" s="2031" t="s">
        <v>2782</v>
      </c>
      <c r="J329" s="731" t="s">
        <v>359</v>
      </c>
      <c r="K329" s="732"/>
      <c r="L329" s="729"/>
      <c r="M329" s="730"/>
      <c r="N329" s="1179" t="s">
        <v>2103</v>
      </c>
      <c r="O329" s="1179" t="s">
        <v>2775</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1289</v>
      </c>
      <c r="E330" s="745" t="s">
        <v>112</v>
      </c>
      <c r="F330" s="745" t="s">
        <v>2796</v>
      </c>
      <c r="G330" s="743" t="s">
        <v>1248</v>
      </c>
      <c r="H330" s="744" t="s">
        <v>443</v>
      </c>
      <c r="I330" s="2031" t="s">
        <v>2782</v>
      </c>
      <c r="J330" s="731" t="s">
        <v>361</v>
      </c>
      <c r="K330" s="732"/>
      <c r="L330" s="729"/>
      <c r="M330" s="730"/>
      <c r="N330" s="1179" t="s">
        <v>354</v>
      </c>
      <c r="O330" s="1179" t="s">
        <v>2085</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1289</v>
      </c>
      <c r="E331" s="745" t="s">
        <v>114</v>
      </c>
      <c r="F331" s="745" t="s">
        <v>2796</v>
      </c>
      <c r="G331" s="743" t="s">
        <v>1249</v>
      </c>
      <c r="H331" s="744" t="s">
        <v>443</v>
      </c>
      <c r="I331" s="2031" t="s">
        <v>2782</v>
      </c>
      <c r="J331" s="731" t="s">
        <v>363</v>
      </c>
      <c r="K331" s="732"/>
      <c r="L331" s="729"/>
      <c r="M331" s="730"/>
      <c r="N331" s="1179" t="s">
        <v>356</v>
      </c>
      <c r="O331" s="1179" t="s">
        <v>930</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1289</v>
      </c>
      <c r="E332" s="745" t="s">
        <v>116</v>
      </c>
      <c r="F332" s="745" t="s">
        <v>2796</v>
      </c>
      <c r="G332" s="743" t="s">
        <v>2512</v>
      </c>
      <c r="H332" s="744" t="s">
        <v>443</v>
      </c>
      <c r="I332" s="2031" t="s">
        <v>2782</v>
      </c>
      <c r="J332" s="731" t="s">
        <v>2075</v>
      </c>
      <c r="K332" s="732"/>
      <c r="L332" s="729"/>
      <c r="M332" s="730"/>
      <c r="N332" s="1179" t="s">
        <v>358</v>
      </c>
      <c r="O332" s="1179" t="s">
        <v>187</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1398</v>
      </c>
      <c r="E333" s="745" t="s">
        <v>118</v>
      </c>
      <c r="F333" s="745" t="s">
        <v>2796</v>
      </c>
      <c r="G333" s="743" t="s">
        <v>2513</v>
      </c>
      <c r="H333" s="744" t="s">
        <v>443</v>
      </c>
      <c r="I333" s="2031" t="s">
        <v>2782</v>
      </c>
      <c r="J333" s="731" t="s">
        <v>2077</v>
      </c>
      <c r="K333" s="732"/>
      <c r="L333" s="729"/>
      <c r="M333" s="730"/>
      <c r="N333" s="1179" t="s">
        <v>360</v>
      </c>
      <c r="O333" s="1179" t="s">
        <v>2559</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2085</v>
      </c>
      <c r="D334" s="707" t="s">
        <v>1398</v>
      </c>
      <c r="E334" s="742" t="s">
        <v>354</v>
      </c>
      <c r="F334" s="745" t="s">
        <v>2797</v>
      </c>
      <c r="G334" s="743" t="s">
        <v>2514</v>
      </c>
      <c r="H334" s="744" t="s">
        <v>444</v>
      </c>
      <c r="I334" s="2031" t="s">
        <v>1269</v>
      </c>
      <c r="J334" s="731" t="s">
        <v>2293</v>
      </c>
      <c r="K334" s="732"/>
      <c r="L334" s="729"/>
      <c r="M334" s="730"/>
      <c r="N334" s="707" t="s">
        <v>362</v>
      </c>
      <c r="O334" s="707" t="s">
        <v>2011</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2086</v>
      </c>
      <c r="D335" s="707" t="s">
        <v>1289</v>
      </c>
      <c r="E335" s="745" t="s">
        <v>2556</v>
      </c>
      <c r="F335" s="742" t="s">
        <v>2796</v>
      </c>
      <c r="G335" s="743" t="s">
        <v>2515</v>
      </c>
      <c r="H335" s="744" t="s">
        <v>443</v>
      </c>
      <c r="I335" s="2031" t="s">
        <v>2782</v>
      </c>
      <c r="J335" s="731" t="s">
        <v>161</v>
      </c>
      <c r="K335" s="732"/>
      <c r="L335" s="729"/>
      <c r="M335" s="730"/>
      <c r="N335" s="1179" t="s">
        <v>364</v>
      </c>
      <c r="O335" s="1179" t="s">
        <v>183</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2557</v>
      </c>
      <c r="D336" s="707" t="s">
        <v>1422</v>
      </c>
      <c r="E336" s="745" t="s">
        <v>2558</v>
      </c>
      <c r="F336" s="745" t="s">
        <v>2796</v>
      </c>
      <c r="G336" s="743" t="s">
        <v>441</v>
      </c>
      <c r="H336" s="744" t="s">
        <v>443</v>
      </c>
      <c r="I336" s="2031" t="s">
        <v>2782</v>
      </c>
      <c r="J336" s="731" t="s">
        <v>162</v>
      </c>
      <c r="K336" s="732"/>
      <c r="L336" s="729"/>
      <c r="M336" s="730"/>
      <c r="N336" s="1179" t="s">
        <v>2076</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2559</v>
      </c>
      <c r="D337" s="707" t="s">
        <v>1422</v>
      </c>
      <c r="E337" s="745" t="s">
        <v>2560</v>
      </c>
      <c r="F337" s="745" t="s">
        <v>2796</v>
      </c>
      <c r="G337" s="743" t="s">
        <v>442</v>
      </c>
      <c r="H337" s="744" t="s">
        <v>443</v>
      </c>
      <c r="I337" s="2031" t="s">
        <v>2782</v>
      </c>
      <c r="J337" s="731" t="s">
        <v>1689</v>
      </c>
      <c r="K337" s="732"/>
      <c r="L337" s="729"/>
      <c r="M337" s="730"/>
      <c r="N337" s="1179" t="s">
        <v>204</v>
      </c>
      <c r="O337" s="1179" t="s">
        <v>1779</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2561</v>
      </c>
      <c r="D338" s="707" t="s">
        <v>1289</v>
      </c>
      <c r="E338" s="745" t="s">
        <v>1907</v>
      </c>
      <c r="F338" s="745" t="s">
        <v>2797</v>
      </c>
      <c r="G338" s="743" t="s">
        <v>1232</v>
      </c>
      <c r="H338" s="744" t="s">
        <v>444</v>
      </c>
      <c r="I338" s="2031" t="s">
        <v>2782</v>
      </c>
      <c r="J338" s="731" t="s">
        <v>845</v>
      </c>
      <c r="K338" s="732"/>
      <c r="L338" s="729"/>
      <c r="M338" s="730"/>
      <c r="N338" s="1179" t="s">
        <v>2294</v>
      </c>
      <c r="O338" s="1179" t="s">
        <v>204</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847</v>
      </c>
      <c r="K339" s="732"/>
      <c r="L339" s="729"/>
      <c r="M339" s="730"/>
      <c r="N339" s="1179" t="s">
        <v>737</v>
      </c>
      <c r="O339" s="1179" t="s">
        <v>2318</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849</v>
      </c>
      <c r="K340" s="732"/>
      <c r="L340" s="729"/>
      <c r="M340" s="730"/>
      <c r="N340" s="707" t="s">
        <v>163</v>
      </c>
      <c r="O340" s="707" t="s">
        <v>2010</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2587</v>
      </c>
      <c r="K341" s="732"/>
      <c r="L341" s="729"/>
      <c r="M341" s="730"/>
      <c r="N341" s="1179" t="s">
        <v>205</v>
      </c>
      <c r="O341" s="1179" t="s">
        <v>670</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2588</v>
      </c>
      <c r="K342" s="732"/>
      <c r="L342" s="729"/>
      <c r="M342" s="730"/>
      <c r="N342" s="1179" t="s">
        <v>2751</v>
      </c>
      <c r="O342" s="1179" t="s">
        <v>2146</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2590</v>
      </c>
      <c r="K343" s="732"/>
      <c r="L343" s="729"/>
      <c r="M343" s="730"/>
      <c r="N343" s="1179" t="s">
        <v>846</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2592</v>
      </c>
      <c r="K344" s="732"/>
      <c r="L344" s="729"/>
      <c r="M344" s="730"/>
      <c r="N344" s="1179" t="s">
        <v>848</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2593</v>
      </c>
      <c r="K345" s="732"/>
      <c r="L345" s="729"/>
      <c r="M345" s="730"/>
      <c r="N345" s="1179" t="s">
        <v>850</v>
      </c>
      <c r="O345" s="1179" t="s">
        <v>345</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401</v>
      </c>
      <c r="K346" s="732"/>
      <c r="L346" s="729"/>
      <c r="M346" s="730"/>
      <c r="N346" s="1179" t="s">
        <v>3493</v>
      </c>
      <c r="O346" s="1179" t="s">
        <v>934</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2589</v>
      </c>
      <c r="O347" s="707" t="s">
        <v>1550</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2591</v>
      </c>
      <c r="O348" s="1179" t="s">
        <v>1171</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2057</v>
      </c>
      <c r="K349" s="732"/>
      <c r="L349" s="729"/>
      <c r="M349" s="730"/>
      <c r="N349" s="1179" t="s">
        <v>2752</v>
      </c>
      <c r="O349" s="1179" t="s">
        <v>713</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2058</v>
      </c>
      <c r="K350" s="732"/>
      <c r="L350" s="729"/>
      <c r="M350" s="730"/>
      <c r="N350" s="1179" t="s">
        <v>400</v>
      </c>
      <c r="O350" s="1179" t="s">
        <v>2658</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2060</v>
      </c>
      <c r="K351" s="732"/>
      <c r="L351" s="729"/>
      <c r="M351" s="730"/>
      <c r="N351" s="640" t="s">
        <v>402</v>
      </c>
      <c r="O351" s="1179" t="s">
        <v>2311</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2061</v>
      </c>
      <c r="K352" s="732"/>
      <c r="L352" s="729"/>
      <c r="M352" s="730"/>
      <c r="N352" s="1179" t="s">
        <v>51</v>
      </c>
      <c r="O352" s="1179" t="s">
        <v>1011</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2062</v>
      </c>
      <c r="K353" s="732"/>
      <c r="L353" s="729"/>
      <c r="M353" s="730"/>
      <c r="N353" s="1179" t="s">
        <v>53</v>
      </c>
      <c r="O353" s="1179" t="s">
        <v>670</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2064</v>
      </c>
      <c r="K354" s="732"/>
      <c r="L354" s="729"/>
      <c r="M354" s="730"/>
      <c r="N354" s="1179" t="s">
        <v>929</v>
      </c>
      <c r="O354" s="1179" t="s">
        <v>2656</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765</v>
      </c>
      <c r="K355" s="732"/>
      <c r="L355" s="729"/>
      <c r="M355" s="730"/>
      <c r="N355" s="707" t="s">
        <v>2059</v>
      </c>
      <c r="O355" s="707" t="s">
        <v>929</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1209</v>
      </c>
      <c r="K356" s="732"/>
      <c r="L356" s="729"/>
      <c r="M356" s="730"/>
      <c r="N356" s="707" t="s">
        <v>2753</v>
      </c>
      <c r="O356" s="707" t="s">
        <v>670</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1211</v>
      </c>
      <c r="K357" s="732"/>
      <c r="L357" s="729"/>
      <c r="M357" s="730"/>
      <c r="N357" s="1179" t="s">
        <v>3494</v>
      </c>
      <c r="O357" s="1179" t="s">
        <v>2653</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1213</v>
      </c>
      <c r="K358" s="732"/>
      <c r="L358" s="729"/>
      <c r="M358" s="730"/>
      <c r="N358" s="1179" t="s">
        <v>2063</v>
      </c>
      <c r="O358" s="1179" t="s">
        <v>1550</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2685</v>
      </c>
      <c r="K359" s="732"/>
      <c r="L359" s="729"/>
      <c r="M359" s="730"/>
      <c r="N359" s="1179" t="s">
        <v>2065</v>
      </c>
      <c r="O359" s="1179" t="s">
        <v>1550</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2687</v>
      </c>
      <c r="K360" s="732"/>
      <c r="L360" s="729"/>
      <c r="M360" s="730"/>
      <c r="N360" s="1179" t="s">
        <v>766</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196</v>
      </c>
      <c r="K361" s="732"/>
      <c r="L361" s="729"/>
      <c r="M361" s="730"/>
      <c r="N361" s="1179" t="s">
        <v>738</v>
      </c>
      <c r="O361" s="1179" t="s">
        <v>670</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198</v>
      </c>
      <c r="K362" s="732"/>
      <c r="L362" s="729"/>
      <c r="M362" s="730"/>
      <c r="N362" s="1179" t="s">
        <v>3495</v>
      </c>
      <c r="O362" s="1179" t="s">
        <v>167</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1953</v>
      </c>
      <c r="K363" s="732"/>
      <c r="L363" s="729"/>
      <c r="M363" s="730"/>
      <c r="N363" s="1179" t="s">
        <v>3496</v>
      </c>
      <c r="O363" s="1179" t="s">
        <v>335</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1955</v>
      </c>
      <c r="K364" s="732"/>
      <c r="L364" s="729"/>
      <c r="M364" s="730"/>
      <c r="N364" s="1179" t="s">
        <v>1210</v>
      </c>
      <c r="O364" s="1179" t="s">
        <v>1550</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2025</v>
      </c>
      <c r="K365" s="732"/>
      <c r="L365" s="729"/>
      <c r="M365" s="730"/>
      <c r="N365" s="1179" t="s">
        <v>1212</v>
      </c>
      <c r="O365" s="1179" t="s">
        <v>709</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2027</v>
      </c>
      <c r="K366" s="732"/>
      <c r="L366" s="729"/>
      <c r="M366" s="730"/>
      <c r="N366" s="1179" t="s">
        <v>2754</v>
      </c>
      <c r="O366" s="1179" t="s">
        <v>2313</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2028</v>
      </c>
      <c r="K367" s="732"/>
      <c r="L367" s="729"/>
      <c r="M367" s="730"/>
      <c r="N367" s="1179" t="s">
        <v>2755</v>
      </c>
      <c r="O367" s="1179" t="s">
        <v>2705</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2030</v>
      </c>
      <c r="K368" s="732"/>
      <c r="L368" s="729"/>
      <c r="M368" s="730"/>
      <c r="N368" s="1179" t="s">
        <v>1214</v>
      </c>
      <c r="O368" s="1179" t="s">
        <v>1284</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2032</v>
      </c>
      <c r="K369" s="732"/>
      <c r="L369" s="729"/>
      <c r="M369" s="730"/>
      <c r="N369" s="1179" t="s">
        <v>2686</v>
      </c>
      <c r="O369" s="1179" t="s">
        <v>208</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2067</v>
      </c>
      <c r="K370" s="732"/>
      <c r="L370" s="729"/>
      <c r="M370" s="730"/>
      <c r="N370" s="1179" t="s">
        <v>480</v>
      </c>
      <c r="O370" s="1179" t="s">
        <v>1167</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2069</v>
      </c>
      <c r="K371" s="732"/>
      <c r="L371" s="729"/>
      <c r="M371" s="730"/>
      <c r="N371" s="707" t="s">
        <v>197</v>
      </c>
      <c r="O371" s="707" t="s">
        <v>711</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2070</v>
      </c>
      <c r="K372" s="732"/>
      <c r="L372" s="729"/>
      <c r="M372" s="730"/>
      <c r="N372" s="707" t="s">
        <v>318</v>
      </c>
      <c r="O372" s="707" t="s">
        <v>1419</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2072</v>
      </c>
      <c r="K373" s="732"/>
      <c r="L373" s="729"/>
      <c r="M373" s="730"/>
      <c r="N373" s="707" t="s">
        <v>1954</v>
      </c>
      <c r="O373" s="707" t="s">
        <v>934</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2074</v>
      </c>
      <c r="K374" s="732"/>
      <c r="L374" s="729"/>
      <c r="M374" s="730"/>
      <c r="N374" s="1179" t="s">
        <v>1956</v>
      </c>
      <c r="O374" s="1179" t="s">
        <v>1177</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439</v>
      </c>
      <c r="K375" s="732"/>
      <c r="L375" s="729"/>
      <c r="M375" s="730"/>
      <c r="N375" s="1179" t="s">
        <v>2026</v>
      </c>
      <c r="O375" s="1179" t="s">
        <v>2658</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2029</v>
      </c>
      <c r="O376" s="707" t="s">
        <v>709</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1794</v>
      </c>
      <c r="K377" s="732"/>
      <c r="L377" s="729"/>
      <c r="M377" s="730"/>
      <c r="N377" s="1179" t="s">
        <v>2031</v>
      </c>
      <c r="O377" s="1179" t="s">
        <v>1401</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1872</v>
      </c>
      <c r="K378" s="732"/>
      <c r="L378" s="729"/>
      <c r="M378" s="730"/>
      <c r="N378" s="1179" t="s">
        <v>3497</v>
      </c>
      <c r="O378" s="1179" t="s">
        <v>208</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2427</v>
      </c>
      <c r="K379" s="732"/>
      <c r="L379" s="729"/>
      <c r="M379" s="730"/>
      <c r="N379" s="1179" t="s">
        <v>2033</v>
      </c>
      <c r="O379" s="1179" t="s">
        <v>1404</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2429</v>
      </c>
      <c r="K380" s="732"/>
      <c r="L380" s="729"/>
      <c r="M380" s="730"/>
      <c r="N380" s="1179" t="s">
        <v>2068</v>
      </c>
      <c r="O380" s="1179" t="s">
        <v>337</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1053</v>
      </c>
      <c r="K381" s="732"/>
      <c r="L381" s="729"/>
      <c r="M381" s="730"/>
      <c r="N381" s="1179" t="s">
        <v>3498</v>
      </c>
      <c r="O381" s="1179" t="s">
        <v>702</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724</v>
      </c>
      <c r="K382" s="732"/>
      <c r="L382" s="729"/>
      <c r="M382" s="730"/>
      <c r="N382" s="1179" t="s">
        <v>2071</v>
      </c>
      <c r="O382" s="1179" t="s">
        <v>2769</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606</v>
      </c>
      <c r="K383" s="732"/>
      <c r="L383" s="729"/>
      <c r="M383" s="730"/>
      <c r="N383" s="1179" t="s">
        <v>2073</v>
      </c>
      <c r="O383" s="1179" t="s">
        <v>1401</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720</v>
      </c>
      <c r="K384" s="732"/>
      <c r="L384" s="729"/>
      <c r="M384" s="730"/>
      <c r="N384" s="1179" t="s">
        <v>2393</v>
      </c>
      <c r="O384" s="1179" t="s">
        <v>2702</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2547</v>
      </c>
      <c r="K385" s="732"/>
      <c r="L385" s="729"/>
      <c r="M385" s="730"/>
      <c r="N385" s="1179" t="s">
        <v>2756</v>
      </c>
      <c r="O385" s="1179" t="s">
        <v>2313</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231</v>
      </c>
      <c r="K386" s="732"/>
      <c r="L386" s="729"/>
      <c r="M386" s="730"/>
      <c r="N386" s="1179" t="s">
        <v>2757</v>
      </c>
      <c r="O386" s="1179" t="s">
        <v>2655</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834</v>
      </c>
      <c r="K387" s="732"/>
      <c r="L387" s="729"/>
      <c r="M387" s="730"/>
      <c r="N387" s="1179" t="s">
        <v>440</v>
      </c>
      <c r="O387" s="1179" t="s">
        <v>1284</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835</v>
      </c>
      <c r="K388" s="732"/>
      <c r="L388" s="729"/>
      <c r="M388" s="730"/>
      <c r="N388" s="707" t="s">
        <v>239</v>
      </c>
      <c r="O388" s="707" t="s">
        <v>714</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243</v>
      </c>
      <c r="K389" s="732"/>
      <c r="L389" s="729"/>
      <c r="M389" s="730"/>
      <c r="N389" s="1179" t="s">
        <v>2758</v>
      </c>
      <c r="O389" s="1179" t="s">
        <v>2144</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245</v>
      </c>
      <c r="K390" s="732"/>
      <c r="L390" s="729"/>
      <c r="M390" s="730"/>
      <c r="N390" s="1179" t="s">
        <v>1795</v>
      </c>
      <c r="O390" s="1179" t="s">
        <v>2653</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247</v>
      </c>
      <c r="K391" s="732"/>
      <c r="L391" s="729"/>
      <c r="M391" s="730"/>
      <c r="N391" s="1179" t="s">
        <v>2428</v>
      </c>
      <c r="O391" s="1179" t="s">
        <v>704</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840</v>
      </c>
      <c r="K392" s="732"/>
      <c r="L392" s="729"/>
      <c r="M392" s="730"/>
      <c r="N392" s="1179" t="s">
        <v>2430</v>
      </c>
      <c r="O392" s="1179" t="s">
        <v>1402</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841</v>
      </c>
      <c r="K393" s="732"/>
      <c r="L393" s="729"/>
      <c r="M393" s="730"/>
      <c r="N393" s="1179" t="s">
        <v>1054</v>
      </c>
      <c r="O393" s="1179" t="s">
        <v>1553</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843</v>
      </c>
      <c r="K394" s="732"/>
      <c r="L394" s="729"/>
      <c r="M394" s="730"/>
      <c r="N394" s="1179" t="s">
        <v>607</v>
      </c>
      <c r="O394" s="1179" t="s">
        <v>1418</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1663</v>
      </c>
      <c r="K395" s="732"/>
      <c r="L395" s="729"/>
      <c r="M395" s="730"/>
      <c r="N395" s="1179" t="s">
        <v>721</v>
      </c>
      <c r="O395" s="1179" t="s">
        <v>330</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1298</v>
      </c>
      <c r="K396" s="732"/>
      <c r="L396" s="729"/>
      <c r="M396" s="730"/>
      <c r="N396" s="1179" t="s">
        <v>2548</v>
      </c>
      <c r="O396" s="1179" t="s">
        <v>165</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1300</v>
      </c>
      <c r="K397" s="732"/>
      <c r="L397" s="729"/>
      <c r="M397" s="730"/>
      <c r="N397" s="1179" t="s">
        <v>232</v>
      </c>
      <c r="O397" s="1179" t="s">
        <v>2652</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955</v>
      </c>
      <c r="K398" s="732"/>
      <c r="L398" s="729"/>
      <c r="M398" s="730"/>
      <c r="N398" s="1179" t="s">
        <v>706</v>
      </c>
      <c r="O398" s="1179" t="s">
        <v>1747</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2630</v>
      </c>
      <c r="K399" s="732"/>
      <c r="L399" s="729"/>
      <c r="M399" s="730"/>
      <c r="N399" s="1179" t="s">
        <v>2518</v>
      </c>
      <c r="O399" s="1179" t="s">
        <v>2650</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958</v>
      </c>
      <c r="K400" s="732"/>
      <c r="L400" s="729"/>
      <c r="M400" s="730"/>
      <c r="N400" s="1179" t="s">
        <v>244</v>
      </c>
      <c r="O400" s="1179" t="s">
        <v>1627</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960</v>
      </c>
      <c r="K401" s="732"/>
      <c r="L401" s="729"/>
      <c r="M401" s="730"/>
      <c r="N401" s="1179" t="s">
        <v>1111</v>
      </c>
      <c r="O401" s="1179" t="s">
        <v>1553</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962</v>
      </c>
      <c r="K402" s="732"/>
      <c r="L402" s="729"/>
      <c r="M402" s="730"/>
      <c r="N402" s="1179" t="s">
        <v>246</v>
      </c>
      <c r="O402" s="1179" t="s">
        <v>1157</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964</v>
      </c>
      <c r="K403" s="732"/>
      <c r="L403" s="729"/>
      <c r="M403" s="730"/>
      <c r="N403" s="1179" t="s">
        <v>707</v>
      </c>
      <c r="O403" s="1179" t="s">
        <v>337</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966</v>
      </c>
      <c r="K404" s="732"/>
      <c r="L404" s="729"/>
      <c r="M404" s="730"/>
      <c r="N404" s="1179" t="s">
        <v>842</v>
      </c>
      <c r="O404" s="1179" t="s">
        <v>707</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726</v>
      </c>
      <c r="K405" s="732"/>
      <c r="L405" s="729"/>
      <c r="M405" s="730"/>
      <c r="N405" s="1179" t="s">
        <v>1297</v>
      </c>
      <c r="O405" s="1179" t="s">
        <v>2658</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1299</v>
      </c>
      <c r="O406" s="1179" t="s">
        <v>330</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1019</v>
      </c>
      <c r="K407" s="732"/>
      <c r="L407" s="729"/>
      <c r="M407" s="730"/>
      <c r="N407" s="1179" t="s">
        <v>1301</v>
      </c>
      <c r="O407" s="1179" t="s">
        <v>167</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1865</v>
      </c>
      <c r="K408" s="732"/>
      <c r="L408" s="729"/>
      <c r="M408" s="730"/>
      <c r="N408" s="1179" t="s">
        <v>956</v>
      </c>
      <c r="O408" s="1179" t="s">
        <v>2391</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1059</v>
      </c>
      <c r="K409" s="732"/>
      <c r="L409" s="729"/>
      <c r="M409" s="730"/>
      <c r="N409" s="1179" t="s">
        <v>2631</v>
      </c>
      <c r="O409" s="1179" t="s">
        <v>2012</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1060</v>
      </c>
      <c r="K410" s="732"/>
      <c r="L410" s="729"/>
      <c r="M410" s="730"/>
      <c r="N410" s="1179" t="s">
        <v>959</v>
      </c>
      <c r="O410" s="1179" t="s">
        <v>2320</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1062</v>
      </c>
      <c r="K411" s="732"/>
      <c r="L411" s="729"/>
      <c r="M411" s="730"/>
      <c r="N411" s="707" t="s">
        <v>961</v>
      </c>
      <c r="O411" s="707" t="s">
        <v>1169</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1041</v>
      </c>
      <c r="K412" s="732"/>
      <c r="L412" s="729"/>
      <c r="M412" s="730"/>
      <c r="N412" s="1179" t="s">
        <v>963</v>
      </c>
      <c r="O412" s="1179" t="s">
        <v>711</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1043</v>
      </c>
      <c r="K413" s="732"/>
      <c r="L413" s="729"/>
      <c r="M413" s="730"/>
      <c r="N413" s="1179" t="s">
        <v>965</v>
      </c>
      <c r="O413" s="1179" t="s">
        <v>330</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1045</v>
      </c>
      <c r="K414" s="732"/>
      <c r="L414" s="729"/>
      <c r="M414" s="730"/>
      <c r="N414" s="1179" t="s">
        <v>967</v>
      </c>
      <c r="O414" s="1179" t="s">
        <v>1416</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1047</v>
      </c>
      <c r="K415" s="732"/>
      <c r="L415" s="729"/>
      <c r="M415" s="730"/>
      <c r="N415" s="707" t="s">
        <v>727</v>
      </c>
      <c r="O415" s="707" t="s">
        <v>2324</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610</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391</v>
      </c>
      <c r="K417" s="732"/>
      <c r="L417" s="729"/>
      <c r="M417" s="730"/>
      <c r="N417" s="1179" t="s">
        <v>1020</v>
      </c>
      <c r="O417" s="1179" t="s">
        <v>2145</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393</v>
      </c>
      <c r="K418" s="732"/>
      <c r="L418" s="729"/>
      <c r="M418" s="730"/>
      <c r="N418" s="1179" t="s">
        <v>714</v>
      </c>
      <c r="O418" s="1179" t="s">
        <v>2559</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395</v>
      </c>
      <c r="K419" s="732"/>
      <c r="L419" s="729"/>
      <c r="M419" s="730"/>
      <c r="N419" s="1179" t="s">
        <v>1061</v>
      </c>
      <c r="O419" s="1179" t="s">
        <v>1288</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638</v>
      </c>
      <c r="K420" s="732"/>
      <c r="L420" s="729"/>
      <c r="M420" s="730"/>
      <c r="N420" s="1179" t="s">
        <v>1063</v>
      </c>
      <c r="O420" s="1179" t="s">
        <v>2705</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1509</v>
      </c>
      <c r="K421" s="732"/>
      <c r="L421" s="729"/>
      <c r="M421" s="730"/>
      <c r="N421" s="707" t="s">
        <v>1042</v>
      </c>
      <c r="O421" s="707" t="s">
        <v>450</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1703</v>
      </c>
      <c r="K422" s="732"/>
      <c r="L422" s="729"/>
      <c r="M422" s="730"/>
      <c r="N422" s="1179" t="s">
        <v>1044</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1069</v>
      </c>
      <c r="K423" s="732"/>
      <c r="L423" s="729"/>
      <c r="M423" s="730"/>
      <c r="N423" s="1179" t="s">
        <v>1046</v>
      </c>
      <c r="O423" s="1179" t="s">
        <v>718</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1071</v>
      </c>
      <c r="K424" s="732"/>
      <c r="L424" s="729"/>
      <c r="M424" s="730"/>
      <c r="N424" s="1179" t="s">
        <v>1048</v>
      </c>
      <c r="O424" s="1179" t="s">
        <v>2012</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1073</v>
      </c>
      <c r="K425" s="732"/>
      <c r="L425" s="729"/>
      <c r="M425" s="730"/>
      <c r="N425" s="1179" t="s">
        <v>1112</v>
      </c>
      <c r="O425" s="1179" t="s">
        <v>670</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1796</v>
      </c>
      <c r="K426" s="732"/>
      <c r="L426" s="729"/>
      <c r="M426" s="730"/>
      <c r="N426" s="1179" t="s">
        <v>611</v>
      </c>
      <c r="O426" s="1179" t="s">
        <v>2313</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1797</v>
      </c>
      <c r="K427" s="732"/>
      <c r="L427" s="729"/>
      <c r="M427" s="730"/>
      <c r="N427" s="1179" t="s">
        <v>392</v>
      </c>
      <c r="O427" s="1179" t="s">
        <v>2702</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1798</v>
      </c>
      <c r="K428" s="732"/>
      <c r="L428" s="729"/>
      <c r="M428" s="730"/>
      <c r="N428" s="1179" t="s">
        <v>394</v>
      </c>
      <c r="O428" s="1179" t="s">
        <v>1553</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918</v>
      </c>
      <c r="K429" s="732"/>
      <c r="L429" s="729"/>
      <c r="M429" s="730"/>
      <c r="N429" s="1179" t="s">
        <v>1113</v>
      </c>
      <c r="O429" s="1179" t="s">
        <v>2046</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920</v>
      </c>
      <c r="K430" s="732"/>
      <c r="L430" s="729"/>
      <c r="M430" s="730"/>
      <c r="N430" s="1179" t="s">
        <v>396</v>
      </c>
      <c r="O430" s="1179" t="s">
        <v>933</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922</v>
      </c>
      <c r="K431" s="732"/>
      <c r="L431" s="729"/>
      <c r="M431" s="730"/>
      <c r="N431" s="1179" t="s">
        <v>1510</v>
      </c>
      <c r="O431" s="1179" t="s">
        <v>2393</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454</v>
      </c>
      <c r="K432" s="732"/>
      <c r="L432" s="729"/>
      <c r="M432" s="730"/>
      <c r="N432" s="1179" t="s">
        <v>1704</v>
      </c>
      <c r="O432" s="1179" t="s">
        <v>183</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1844</v>
      </c>
      <c r="K433" s="732"/>
      <c r="L433" s="729"/>
      <c r="M433" s="730"/>
      <c r="N433" s="1179" t="s">
        <v>1070</v>
      </c>
      <c r="O433" s="1179" t="s">
        <v>334</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2436</v>
      </c>
      <c r="K434" s="732"/>
      <c r="L434" s="729"/>
      <c r="M434" s="730"/>
      <c r="N434" s="707" t="s">
        <v>1072</v>
      </c>
      <c r="O434" s="707" t="s">
        <v>338</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2140</v>
      </c>
      <c r="K435" s="732"/>
      <c r="L435" s="729"/>
      <c r="M435" s="730"/>
      <c r="N435" s="1179" t="s">
        <v>1114</v>
      </c>
      <c r="O435" s="1179" t="s">
        <v>2142</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1095</v>
      </c>
      <c r="K436" s="732"/>
      <c r="L436" s="729"/>
      <c r="M436" s="730"/>
      <c r="N436" s="1179" t="s">
        <v>1074</v>
      </c>
      <c r="O436" s="1179" t="s">
        <v>1284</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431</v>
      </c>
      <c r="K437" s="732"/>
      <c r="L437" s="729"/>
      <c r="M437" s="730"/>
      <c r="N437" s="1179" t="s">
        <v>333</v>
      </c>
      <c r="O437" s="1179" t="s">
        <v>2705</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433</v>
      </c>
      <c r="K438" s="732"/>
      <c r="L438" s="729"/>
      <c r="M438" s="730"/>
      <c r="N438" s="1179" t="s">
        <v>3499</v>
      </c>
      <c r="O438" s="1179" t="s">
        <v>1908</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434</v>
      </c>
      <c r="K439" s="732"/>
      <c r="L439" s="729"/>
      <c r="M439" s="730"/>
      <c r="N439" s="1179" t="s">
        <v>1799</v>
      </c>
      <c r="O439" s="1179" t="s">
        <v>2702</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2078</v>
      </c>
      <c r="K440" s="732"/>
      <c r="L440" s="729"/>
      <c r="M440" s="730"/>
      <c r="N440" s="1179" t="s">
        <v>919</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524</v>
      </c>
      <c r="K441" s="732"/>
      <c r="L441" s="729"/>
      <c r="M441" s="730"/>
      <c r="N441" s="1179" t="s">
        <v>921</v>
      </c>
      <c r="O441" s="1179" t="s">
        <v>335</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2301</v>
      </c>
      <c r="K442" s="732"/>
      <c r="L442" s="729"/>
      <c r="M442" s="730"/>
      <c r="N442" s="1179" t="s">
        <v>1864</v>
      </c>
      <c r="O442" s="1179" t="s">
        <v>1165</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1759</v>
      </c>
      <c r="K443" s="732"/>
      <c r="L443" s="729"/>
      <c r="M443" s="730"/>
      <c r="N443" s="1179" t="s">
        <v>673</v>
      </c>
      <c r="O443" s="1179" t="s">
        <v>345</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1761</v>
      </c>
      <c r="K444" s="732"/>
      <c r="L444" s="729"/>
      <c r="M444" s="730"/>
      <c r="N444" s="1179" t="s">
        <v>1845</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325</v>
      </c>
      <c r="K445" s="732"/>
      <c r="L445" s="729"/>
      <c r="M445" s="730"/>
      <c r="N445" s="1179" t="s">
        <v>2437</v>
      </c>
      <c r="O445" s="1179" t="s">
        <v>927</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327</v>
      </c>
      <c r="K446" s="732"/>
      <c r="L446" s="729"/>
      <c r="M446" s="730"/>
      <c r="N446" s="1179" t="s">
        <v>3500</v>
      </c>
      <c r="O446" s="1179" t="s">
        <v>167</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999</v>
      </c>
      <c r="K447" s="732"/>
      <c r="L447" s="729"/>
      <c r="M447" s="730"/>
      <c r="N447" s="1179" t="s">
        <v>2141</v>
      </c>
      <c r="O447" s="1179" t="s">
        <v>1175</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2471</v>
      </c>
      <c r="K448" s="732"/>
      <c r="L448" s="729"/>
      <c r="M448" s="730"/>
      <c r="N448" s="707" t="s">
        <v>3501</v>
      </c>
      <c r="O448" s="707" t="s">
        <v>338</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2472</v>
      </c>
      <c r="K449" s="732"/>
      <c r="L449" s="729"/>
      <c r="M449" s="730"/>
      <c r="N449" s="1179" t="s">
        <v>1096</v>
      </c>
      <c r="O449" s="1179" t="s">
        <v>2046</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2453</v>
      </c>
      <c r="K450" s="732"/>
      <c r="L450" s="729"/>
      <c r="M450" s="730"/>
      <c r="N450" s="707" t="s">
        <v>432</v>
      </c>
      <c r="O450" s="707" t="s">
        <v>192</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2454</v>
      </c>
      <c r="K451" s="732"/>
      <c r="L451" s="729"/>
      <c r="M451" s="730"/>
      <c r="N451" s="1179" t="s">
        <v>1115</v>
      </c>
      <c r="O451" s="1179" t="s">
        <v>1162</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2456</v>
      </c>
      <c r="K452" s="732"/>
      <c r="L452" s="729"/>
      <c r="M452" s="730"/>
      <c r="N452" s="707" t="s">
        <v>435</v>
      </c>
      <c r="O452" s="707" t="s">
        <v>2309</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543</v>
      </c>
      <c r="K453" s="732"/>
      <c r="L453" s="729"/>
      <c r="M453" s="730"/>
      <c r="N453" s="1179" t="s">
        <v>2079</v>
      </c>
      <c r="O453" s="1179" t="s">
        <v>1553</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194</v>
      </c>
      <c r="K454" s="732"/>
      <c r="L454" s="729"/>
      <c r="M454" s="730"/>
      <c r="N454" s="1179" t="s">
        <v>525</v>
      </c>
      <c r="O454" s="1179" t="s">
        <v>2775</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2253</v>
      </c>
      <c r="K455" s="732"/>
      <c r="L455" s="729"/>
      <c r="M455" s="730"/>
      <c r="N455" s="1179" t="s">
        <v>2302</v>
      </c>
      <c r="O455" s="1179" t="s">
        <v>1410</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2111</v>
      </c>
      <c r="K456" s="732"/>
      <c r="L456" s="729"/>
      <c r="M456" s="730"/>
      <c r="N456" s="1179" t="s">
        <v>1760</v>
      </c>
      <c r="O456" s="1179" t="s">
        <v>2050</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2113</v>
      </c>
      <c r="K457" s="732"/>
      <c r="L457" s="729"/>
      <c r="M457" s="730"/>
      <c r="N457" s="1179" t="s">
        <v>1762</v>
      </c>
      <c r="O457" s="1179" t="s">
        <v>172</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1215</v>
      </c>
      <c r="K458" s="732"/>
      <c r="L458" s="729"/>
      <c r="M458" s="730"/>
      <c r="N458" s="1179" t="s">
        <v>326</v>
      </c>
      <c r="O458" s="1179" t="s">
        <v>165</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1217</v>
      </c>
      <c r="K459" s="732"/>
      <c r="L459" s="729"/>
      <c r="M459" s="730"/>
      <c r="N459" s="1179" t="s">
        <v>328</v>
      </c>
      <c r="O459" s="1179" t="s">
        <v>1397</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1179</v>
      </c>
      <c r="K460" s="732"/>
      <c r="L460" s="729"/>
      <c r="M460" s="730"/>
      <c r="N460" s="1179" t="s">
        <v>1000</v>
      </c>
      <c r="O460" s="1179" t="s">
        <v>2653</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1180</v>
      </c>
      <c r="K461" s="732"/>
      <c r="L461" s="729"/>
      <c r="M461" s="730"/>
      <c r="N461" s="1179" t="s">
        <v>2473</v>
      </c>
      <c r="O461" s="1179" t="s">
        <v>342</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3502</v>
      </c>
      <c r="O462" s="1179" t="s">
        <v>2326</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387</v>
      </c>
      <c r="K463" s="732"/>
      <c r="L463" s="729"/>
      <c r="M463" s="730"/>
      <c r="N463" s="640" t="s">
        <v>2455</v>
      </c>
      <c r="O463" s="1179" t="s">
        <v>187</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2398</v>
      </c>
      <c r="K464" s="732"/>
      <c r="L464" s="729"/>
      <c r="M464" s="730"/>
      <c r="N464" s="1179" t="s">
        <v>2457</v>
      </c>
      <c r="O464" s="1179" t="s">
        <v>1407</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1946</v>
      </c>
      <c r="K465" s="732"/>
      <c r="L465" s="729"/>
      <c r="M465" s="730"/>
      <c r="N465" s="1179" t="s">
        <v>544</v>
      </c>
      <c r="O465" s="1179" t="s">
        <v>187</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1879</v>
      </c>
      <c r="K466" s="732"/>
      <c r="L466" s="729"/>
      <c r="M466" s="730"/>
      <c r="N466" s="1179" t="s">
        <v>1116</v>
      </c>
      <c r="O466" s="1179" t="s">
        <v>1627</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289</v>
      </c>
      <c r="K467" s="732"/>
      <c r="L467" s="729"/>
      <c r="M467" s="730"/>
      <c r="N467" s="1179" t="s">
        <v>195</v>
      </c>
      <c r="O467" s="1179" t="s">
        <v>2311</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2508</v>
      </c>
      <c r="K468" s="732"/>
      <c r="L468" s="729"/>
      <c r="M468" s="730"/>
      <c r="N468" s="707" t="s">
        <v>1117</v>
      </c>
      <c r="O468" s="707" t="s">
        <v>2652</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499</v>
      </c>
      <c r="K469" s="732"/>
      <c r="L469" s="729"/>
      <c r="M469" s="730"/>
      <c r="N469" s="1179" t="s">
        <v>2110</v>
      </c>
      <c r="O469" s="1179" t="s">
        <v>2559</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500</v>
      </c>
      <c r="K470" s="732"/>
      <c r="L470" s="729"/>
      <c r="M470" s="730"/>
      <c r="N470" s="1179" t="s">
        <v>1118</v>
      </c>
      <c r="O470" s="1179" t="s">
        <v>167</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502</v>
      </c>
      <c r="K471" s="732"/>
      <c r="L471" s="729"/>
      <c r="M471" s="730"/>
      <c r="N471" s="1179" t="s">
        <v>2112</v>
      </c>
      <c r="O471" s="1179" t="s">
        <v>2559</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504</v>
      </c>
      <c r="K472" s="732"/>
      <c r="L472" s="729"/>
      <c r="M472" s="730"/>
      <c r="N472" s="1179" t="s">
        <v>342</v>
      </c>
      <c r="O472" s="1179" t="s">
        <v>1418</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1319</v>
      </c>
      <c r="K473" s="732"/>
      <c r="L473" s="729"/>
      <c r="M473" s="730"/>
      <c r="N473" s="1179" t="s">
        <v>1216</v>
      </c>
      <c r="O473" s="1179" t="s">
        <v>927</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1321</v>
      </c>
      <c r="K474" s="732"/>
      <c r="L474" s="729"/>
      <c r="M474" s="730"/>
      <c r="N474" s="1179" t="s">
        <v>1178</v>
      </c>
      <c r="O474" s="1179" t="s">
        <v>930</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2130</v>
      </c>
      <c r="K475" s="732"/>
      <c r="L475" s="729"/>
      <c r="M475" s="730"/>
      <c r="N475" s="1179" t="s">
        <v>344</v>
      </c>
      <c r="O475" s="1179" t="s">
        <v>1159</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2131</v>
      </c>
      <c r="K476" s="732"/>
      <c r="L476" s="729"/>
      <c r="M476" s="730"/>
      <c r="N476" s="1179" t="s">
        <v>347</v>
      </c>
      <c r="O476" s="1179" t="s">
        <v>342</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2054</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2399</v>
      </c>
      <c r="O478" s="707" t="s">
        <v>1418</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2576</v>
      </c>
      <c r="K479" s="732"/>
      <c r="L479" s="729"/>
      <c r="M479" s="730"/>
      <c r="N479" s="1179" t="s">
        <v>1878</v>
      </c>
      <c r="O479" s="1179" t="s">
        <v>2145</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2340</v>
      </c>
      <c r="K480" s="732"/>
      <c r="L480" s="729"/>
      <c r="M480" s="730"/>
      <c r="N480" s="1179" t="s">
        <v>1880</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2341</v>
      </c>
      <c r="K481" s="732"/>
      <c r="L481" s="729"/>
      <c r="M481" s="730"/>
      <c r="N481" s="1179" t="s">
        <v>739</v>
      </c>
      <c r="O481" s="1179" t="s">
        <v>1284</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1025</v>
      </c>
      <c r="K482" s="732"/>
      <c r="L482" s="729"/>
      <c r="M482" s="730"/>
      <c r="N482" s="1179" t="s">
        <v>2507</v>
      </c>
      <c r="O482" s="1179" t="s">
        <v>2652</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1027</v>
      </c>
      <c r="K483" s="732"/>
      <c r="L483" s="729"/>
      <c r="M483" s="730"/>
      <c r="N483" s="1179" t="s">
        <v>2509</v>
      </c>
      <c r="O483" s="1179" t="s">
        <v>2320</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1593</v>
      </c>
      <c r="K484" s="732"/>
      <c r="L484" s="729"/>
      <c r="M484" s="730"/>
      <c r="N484" s="1179" t="s">
        <v>501</v>
      </c>
      <c r="O484" s="1179" t="s">
        <v>2655</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1594</v>
      </c>
      <c r="K485" s="732"/>
      <c r="L485" s="729"/>
      <c r="M485" s="730"/>
      <c r="N485" s="1179" t="s">
        <v>503</v>
      </c>
      <c r="O485" s="1179" t="s">
        <v>1416</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1596</v>
      </c>
      <c r="K486" s="732"/>
      <c r="L486" s="729"/>
      <c r="M486" s="730"/>
      <c r="N486" s="1179" t="s">
        <v>1119</v>
      </c>
      <c r="O486" s="1179" t="s">
        <v>1421</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1598</v>
      </c>
      <c r="K487" s="732"/>
      <c r="L487" s="729"/>
      <c r="M487" s="730"/>
      <c r="N487" s="1179" t="s">
        <v>505</v>
      </c>
      <c r="O487" s="1179" t="s">
        <v>1421</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1600</v>
      </c>
      <c r="K488" s="732"/>
      <c r="L488" s="729"/>
      <c r="M488" s="730"/>
      <c r="N488" s="707" t="s">
        <v>1320</v>
      </c>
      <c r="O488" s="707" t="s">
        <v>1401</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2489</v>
      </c>
      <c r="K489" s="732"/>
      <c r="L489" s="729"/>
      <c r="M489" s="730"/>
      <c r="N489" s="1179" t="s">
        <v>1322</v>
      </c>
      <c r="O489" s="1179" t="s">
        <v>351</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2779</v>
      </c>
      <c r="K490" s="732"/>
      <c r="L490" s="729"/>
      <c r="M490" s="730"/>
      <c r="N490" s="1179" t="s">
        <v>3503</v>
      </c>
      <c r="O490" s="1179" t="s">
        <v>2706</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1363</v>
      </c>
      <c r="K491" s="732"/>
      <c r="L491" s="729"/>
      <c r="M491" s="730"/>
      <c r="N491" s="1179" t="s">
        <v>2132</v>
      </c>
      <c r="O491" s="1179" t="s">
        <v>2144</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1615</v>
      </c>
      <c r="K492" s="732"/>
      <c r="L492" s="729"/>
      <c r="M492" s="730"/>
      <c r="N492" s="1179" t="s">
        <v>79</v>
      </c>
      <c r="O492" s="1179" t="s">
        <v>2050</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874</v>
      </c>
      <c r="K493" s="732"/>
      <c r="L493" s="729"/>
      <c r="M493" s="730"/>
      <c r="N493" s="1179" t="s">
        <v>674</v>
      </c>
      <c r="O493" s="1179" t="s">
        <v>2652</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875</v>
      </c>
      <c r="K494" s="732"/>
      <c r="L494" s="729"/>
      <c r="M494" s="730"/>
      <c r="N494" s="1179" t="s">
        <v>81</v>
      </c>
      <c r="O494" s="1179" t="s">
        <v>183</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877</v>
      </c>
      <c r="K495" s="732"/>
      <c r="L495" s="729"/>
      <c r="M495" s="730"/>
      <c r="N495" s="1179" t="s">
        <v>2577</v>
      </c>
      <c r="O495" s="1179" t="s">
        <v>1549</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878</v>
      </c>
      <c r="K496" s="732"/>
      <c r="L496" s="729"/>
      <c r="M496" s="730"/>
      <c r="N496" s="1179" t="s">
        <v>1120</v>
      </c>
      <c r="O496" s="1179" t="s">
        <v>1627</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1121</v>
      </c>
      <c r="O497" s="1179" t="s">
        <v>1176</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263</v>
      </c>
      <c r="K498" s="732"/>
      <c r="L498" s="729"/>
      <c r="M498" s="730"/>
      <c r="N498" s="1179" t="s">
        <v>655</v>
      </c>
      <c r="O498" s="1179" t="s">
        <v>707</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1612</v>
      </c>
      <c r="K499" s="732"/>
      <c r="L499" s="729"/>
      <c r="M499" s="730"/>
      <c r="N499" s="1179" t="s">
        <v>1026</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258</v>
      </c>
      <c r="K500" s="732"/>
      <c r="L500" s="729"/>
      <c r="M500" s="730"/>
      <c r="N500" s="1179" t="s">
        <v>1028</v>
      </c>
      <c r="O500" s="1179" t="s">
        <v>1419</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1617</v>
      </c>
      <c r="K501" s="732"/>
      <c r="L501" s="729"/>
      <c r="M501" s="730"/>
      <c r="N501" s="1179" t="s">
        <v>1595</v>
      </c>
      <c r="O501" s="1179" t="s">
        <v>1552</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1619</v>
      </c>
      <c r="K502" s="732"/>
      <c r="L502" s="729"/>
      <c r="M502" s="730"/>
      <c r="N502" s="1179" t="s">
        <v>1597</v>
      </c>
      <c r="O502" s="1179" t="s">
        <v>2703</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1483</v>
      </c>
      <c r="K503" s="732"/>
      <c r="L503" s="729"/>
      <c r="M503" s="730"/>
      <c r="N503" s="1179" t="s">
        <v>1599</v>
      </c>
      <c r="O503" s="1179" t="s">
        <v>2318</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1485</v>
      </c>
      <c r="K504" s="732"/>
      <c r="L504" s="729"/>
      <c r="M504" s="730"/>
      <c r="N504" s="1179" t="s">
        <v>2488</v>
      </c>
      <c r="O504" s="1179" t="s">
        <v>2774</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1487</v>
      </c>
      <c r="K505" s="732"/>
      <c r="L505" s="729"/>
      <c r="M505" s="730"/>
      <c r="N505" s="1179" t="s">
        <v>2490</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1488</v>
      </c>
      <c r="K506" s="732"/>
      <c r="L506" s="729"/>
      <c r="M506" s="730"/>
      <c r="N506" s="707" t="s">
        <v>1362</v>
      </c>
      <c r="O506" s="707" t="s">
        <v>1011</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1490</v>
      </c>
      <c r="K507" s="732"/>
      <c r="L507" s="729"/>
      <c r="M507" s="730"/>
      <c r="N507" s="1179" t="s">
        <v>1122</v>
      </c>
      <c r="O507" s="1179" t="s">
        <v>2142</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1492</v>
      </c>
      <c r="K508" s="732"/>
      <c r="L508" s="729"/>
      <c r="M508" s="730"/>
      <c r="N508" s="1179" t="s">
        <v>1364</v>
      </c>
      <c r="O508" s="1179" t="s">
        <v>1554</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1678</v>
      </c>
      <c r="K509" s="732"/>
      <c r="L509" s="729"/>
      <c r="M509" s="730"/>
      <c r="N509" s="1179" t="s">
        <v>882</v>
      </c>
      <c r="O509" s="1179" t="s">
        <v>2144</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1679</v>
      </c>
      <c r="K510" s="732"/>
      <c r="L510" s="729"/>
      <c r="M510" s="730"/>
      <c r="N510" s="1179" t="s">
        <v>883</v>
      </c>
      <c r="O510" s="1179" t="s">
        <v>929</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1680</v>
      </c>
      <c r="K511" s="732"/>
      <c r="L511" s="729"/>
      <c r="M511" s="730"/>
      <c r="N511" s="1179" t="s">
        <v>876</v>
      </c>
      <c r="O511" s="1179" t="s">
        <v>670</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1681</v>
      </c>
      <c r="K512" s="732"/>
      <c r="L512" s="729"/>
      <c r="M512" s="730"/>
      <c r="N512" s="1179" t="s">
        <v>879</v>
      </c>
      <c r="O512" s="1179" t="s">
        <v>338</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1683</v>
      </c>
      <c r="K513" s="732"/>
      <c r="L513" s="729"/>
      <c r="M513" s="730"/>
      <c r="N513" s="1179" t="s">
        <v>123</v>
      </c>
      <c r="O513" s="1179" t="s">
        <v>2145</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1685</v>
      </c>
      <c r="K514" s="732"/>
      <c r="L514" s="729"/>
      <c r="M514" s="730"/>
      <c r="N514" s="1179" t="s">
        <v>264</v>
      </c>
      <c r="O514" s="1179" t="s">
        <v>2012</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1686</v>
      </c>
      <c r="K515" s="732"/>
      <c r="L515" s="729"/>
      <c r="M515" s="730"/>
      <c r="N515" s="707" t="s">
        <v>1613</v>
      </c>
      <c r="O515" s="707" t="s">
        <v>2144</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1688</v>
      </c>
      <c r="K516" s="732"/>
      <c r="L516" s="729"/>
      <c r="M516" s="730"/>
      <c r="N516" s="1179" t="s">
        <v>1616</v>
      </c>
      <c r="O516" s="1179" t="s">
        <v>347</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398</v>
      </c>
      <c r="K517" s="732"/>
      <c r="L517" s="729"/>
      <c r="M517" s="730"/>
      <c r="N517" s="1179" t="s">
        <v>1618</v>
      </c>
      <c r="O517" s="1179" t="s">
        <v>2652</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260</v>
      </c>
      <c r="K518" s="732"/>
      <c r="L518" s="729"/>
      <c r="M518" s="730"/>
      <c r="N518" s="1179" t="s">
        <v>513</v>
      </c>
      <c r="O518" s="1179" t="s">
        <v>1556</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262</v>
      </c>
      <c r="K519" s="732"/>
      <c r="L519" s="729"/>
      <c r="M519" s="730"/>
      <c r="N519" s="1179" t="s">
        <v>1484</v>
      </c>
      <c r="O519" s="1179" t="s">
        <v>330</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1486</v>
      </c>
      <c r="O520" s="1179" t="s">
        <v>927</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1151</v>
      </c>
      <c r="K521" s="732"/>
      <c r="L521" s="729"/>
      <c r="M521" s="730"/>
      <c r="N521" s="1179" t="s">
        <v>184</v>
      </c>
      <c r="O521" s="1179" t="s">
        <v>2316</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1153</v>
      </c>
      <c r="K522" s="732"/>
      <c r="L522" s="729"/>
      <c r="M522" s="730"/>
      <c r="N522" s="1179" t="s">
        <v>1489</v>
      </c>
      <c r="O522" s="1179" t="s">
        <v>2012</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1155</v>
      </c>
      <c r="K523" s="732"/>
      <c r="L523" s="729"/>
      <c r="M523" s="730"/>
      <c r="N523" s="1179" t="s">
        <v>1491</v>
      </c>
      <c r="O523" s="1179" t="s">
        <v>170</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272</v>
      </c>
      <c r="K524" s="732"/>
      <c r="L524" s="729"/>
      <c r="M524" s="730"/>
      <c r="N524" s="1179" t="s">
        <v>2661</v>
      </c>
      <c r="O524" s="1179" t="s">
        <v>2044</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274</v>
      </c>
      <c r="K525" s="732"/>
      <c r="L525" s="729"/>
      <c r="M525" s="730"/>
      <c r="N525" s="1179" t="s">
        <v>1123</v>
      </c>
      <c r="O525" s="1179" t="s">
        <v>2655</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1739</v>
      </c>
      <c r="K526" s="732"/>
      <c r="L526" s="729"/>
      <c r="M526" s="730"/>
      <c r="N526" s="1179" t="s">
        <v>1407</v>
      </c>
      <c r="O526" s="1179" t="s">
        <v>1406</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2474</v>
      </c>
      <c r="K527" s="732"/>
      <c r="L527" s="729"/>
      <c r="M527" s="730"/>
      <c r="N527" s="1179" t="s">
        <v>187</v>
      </c>
      <c r="O527" s="1179" t="s">
        <v>2767</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511</v>
      </c>
      <c r="K528" s="732"/>
      <c r="L528" s="729"/>
      <c r="M528" s="730"/>
      <c r="N528" s="1179" t="s">
        <v>1682</v>
      </c>
      <c r="O528" s="1179" t="s">
        <v>2324</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1388</v>
      </c>
      <c r="K529" s="732"/>
      <c r="L529" s="729"/>
      <c r="M529" s="730"/>
      <c r="N529" s="1179" t="s">
        <v>1684</v>
      </c>
      <c r="O529" s="1179" t="s">
        <v>2012</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693</v>
      </c>
      <c r="K530" s="732"/>
      <c r="L530" s="729"/>
      <c r="M530" s="730"/>
      <c r="N530" s="1179" t="s">
        <v>1687</v>
      </c>
      <c r="O530" s="1179" t="s">
        <v>2772</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734</v>
      </c>
      <c r="K531" s="732"/>
      <c r="L531" s="729"/>
      <c r="M531" s="730"/>
      <c r="N531" s="1179" t="s">
        <v>397</v>
      </c>
      <c r="O531" s="1179" t="s">
        <v>2655</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735</v>
      </c>
      <c r="K532" s="732"/>
      <c r="L532" s="729"/>
      <c r="M532" s="730"/>
      <c r="N532" s="640" t="s">
        <v>399</v>
      </c>
      <c r="O532" s="1179" t="s">
        <v>1407</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556</v>
      </c>
      <c r="K533" s="732"/>
      <c r="L533" s="729"/>
      <c r="M533" s="730"/>
      <c r="N533" s="640" t="s">
        <v>261</v>
      </c>
      <c r="O533" s="1179" t="s">
        <v>2314</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558</v>
      </c>
      <c r="K534" s="732"/>
      <c r="L534" s="729"/>
      <c r="M534" s="730"/>
      <c r="N534" s="1179" t="s">
        <v>1717</v>
      </c>
      <c r="O534" s="1179" t="s">
        <v>2702</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560</v>
      </c>
      <c r="K535" s="732"/>
      <c r="L535" s="729"/>
      <c r="M535" s="730"/>
      <c r="N535" s="1179" t="s">
        <v>3504</v>
      </c>
      <c r="O535" s="1179" t="s">
        <v>347</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562</v>
      </c>
      <c r="K536" s="732"/>
      <c r="L536" s="729"/>
      <c r="M536" s="730"/>
      <c r="N536" s="1179" t="s">
        <v>1152</v>
      </c>
      <c r="O536" s="1179" t="s">
        <v>2774</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575</v>
      </c>
      <c r="K537" s="732"/>
      <c r="L537" s="729"/>
      <c r="M537" s="730"/>
      <c r="N537" s="1179" t="s">
        <v>1154</v>
      </c>
      <c r="O537" s="1179" t="s">
        <v>1397</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577</v>
      </c>
      <c r="K538" s="732"/>
      <c r="L538" s="729"/>
      <c r="M538" s="730"/>
      <c r="N538" s="707" t="s">
        <v>1156</v>
      </c>
      <c r="O538" s="707" t="s">
        <v>702</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764</v>
      </c>
      <c r="K539" s="732"/>
      <c r="L539" s="729"/>
      <c r="M539" s="730"/>
      <c r="N539" s="1179" t="s">
        <v>273</v>
      </c>
      <c r="O539" s="1179" t="s">
        <v>338</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625</v>
      </c>
      <c r="K540" s="732"/>
      <c r="L540" s="729"/>
      <c r="M540" s="730"/>
      <c r="N540" s="1179" t="s">
        <v>275</v>
      </c>
      <c r="O540" s="1179" t="s">
        <v>2559</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626</v>
      </c>
      <c r="K541" s="732"/>
      <c r="L541" s="729"/>
      <c r="M541" s="730"/>
      <c r="N541" s="707" t="s">
        <v>1740</v>
      </c>
      <c r="O541" s="707" t="s">
        <v>927</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2216</v>
      </c>
      <c r="K542" s="732"/>
      <c r="L542" s="729"/>
      <c r="M542" s="730"/>
      <c r="N542" s="1179" t="s">
        <v>2475</v>
      </c>
      <c r="O542" s="1179" t="s">
        <v>1162</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491</v>
      </c>
      <c r="K543" s="732"/>
      <c r="L543" s="729"/>
      <c r="M543" s="730"/>
      <c r="N543" s="1179" t="s">
        <v>512</v>
      </c>
      <c r="O543" s="1179" t="s">
        <v>1780</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492</v>
      </c>
      <c r="K544" s="732"/>
      <c r="L544" s="729"/>
      <c r="M544" s="730"/>
      <c r="N544" s="1179" t="s">
        <v>3505</v>
      </c>
      <c r="O544" s="1179" t="s">
        <v>2324</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1345</v>
      </c>
      <c r="K545" s="732"/>
      <c r="L545" s="729"/>
      <c r="M545" s="730"/>
      <c r="N545" s="1179" t="s">
        <v>733</v>
      </c>
      <c r="O545" s="1179" t="s">
        <v>170</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1055</v>
      </c>
      <c r="K546" s="732"/>
      <c r="L546" s="729"/>
      <c r="M546" s="730"/>
      <c r="N546" s="1179" t="s">
        <v>555</v>
      </c>
      <c r="O546" s="1179" t="s">
        <v>782</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1057</v>
      </c>
      <c r="K547" s="732"/>
      <c r="L547" s="729"/>
      <c r="M547" s="730"/>
      <c r="N547" s="1179" t="s">
        <v>557</v>
      </c>
      <c r="O547" s="1179" t="s">
        <v>1416</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1058</v>
      </c>
      <c r="K548" s="732"/>
      <c r="L548" s="729"/>
      <c r="M548" s="730"/>
      <c r="N548" s="1179" t="s">
        <v>559</v>
      </c>
      <c r="O548" s="1179" t="s">
        <v>1553</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561</v>
      </c>
      <c r="O549" s="1179" t="s">
        <v>927</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563</v>
      </c>
      <c r="O550" s="1179" t="s">
        <v>1908</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576</v>
      </c>
      <c r="O551" s="1179" t="s">
        <v>349</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2777</v>
      </c>
      <c r="K552" s="732"/>
      <c r="L552" s="729"/>
      <c r="M552" s="730"/>
      <c r="N552" s="1179" t="s">
        <v>578</v>
      </c>
      <c r="O552" s="1179" t="s">
        <v>451</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2233</v>
      </c>
      <c r="K553" s="732"/>
      <c r="L553" s="729"/>
      <c r="M553" s="730"/>
      <c r="N553" s="707" t="s">
        <v>740</v>
      </c>
      <c r="O553" s="707" t="s">
        <v>1284</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2235</v>
      </c>
      <c r="K554" s="732"/>
      <c r="L554" s="729"/>
      <c r="M554" s="730"/>
      <c r="N554" s="1179" t="s">
        <v>884</v>
      </c>
      <c r="O554" s="1179" t="s">
        <v>702</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627</v>
      </c>
      <c r="K555" s="732"/>
      <c r="L555" s="729"/>
      <c r="M555" s="730"/>
      <c r="N555" s="1179" t="s">
        <v>1745</v>
      </c>
      <c r="O555" s="1179" t="s">
        <v>711</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2493</v>
      </c>
      <c r="K556" s="732"/>
      <c r="L556" s="729"/>
      <c r="M556" s="730"/>
      <c r="N556" s="1179" t="s">
        <v>2217</v>
      </c>
      <c r="O556" s="1179" t="s">
        <v>1162</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752</v>
      </c>
      <c r="K557" s="732"/>
      <c r="L557" s="729"/>
      <c r="M557" s="730"/>
      <c r="N557" s="1179" t="s">
        <v>1747</v>
      </c>
      <c r="O557" s="1179" t="s">
        <v>2145</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754</v>
      </c>
      <c r="K558" s="732"/>
      <c r="L558" s="729"/>
      <c r="M558" s="730"/>
      <c r="N558" s="1179" t="s">
        <v>493</v>
      </c>
      <c r="O558" s="1179" t="s">
        <v>1407</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2433</v>
      </c>
      <c r="K559" s="732"/>
      <c r="L559" s="729"/>
      <c r="M559" s="730"/>
      <c r="N559" s="1179" t="s">
        <v>192</v>
      </c>
      <c r="O559" s="1179" t="s">
        <v>167</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1346</v>
      </c>
      <c r="O560" s="1179" t="s">
        <v>344</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1056</v>
      </c>
      <c r="O561" s="1179" t="s">
        <v>1550</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2396</v>
      </c>
      <c r="K562" s="732"/>
      <c r="L562" s="729"/>
      <c r="M562" s="730"/>
      <c r="N562" s="1179" t="s">
        <v>1125</v>
      </c>
      <c r="O562" s="1179" t="s">
        <v>183</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2424</v>
      </c>
      <c r="K563" s="732"/>
      <c r="L563" s="729"/>
      <c r="M563" s="730"/>
      <c r="N563" s="1179" t="s">
        <v>141</v>
      </c>
      <c r="O563" s="1179" t="s">
        <v>2705</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413</v>
      </c>
      <c r="K564" s="732"/>
      <c r="L564" s="729"/>
      <c r="M564" s="730"/>
      <c r="N564" s="1179" t="s">
        <v>2767</v>
      </c>
      <c r="O564" s="1179" t="s">
        <v>1419</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415</v>
      </c>
      <c r="K565" s="732"/>
      <c r="L565" s="729"/>
      <c r="M565" s="730"/>
      <c r="N565" s="1179" t="s">
        <v>144</v>
      </c>
      <c r="O565" s="1179" t="s">
        <v>702</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417</v>
      </c>
      <c r="K566" s="732"/>
      <c r="L566" s="729"/>
      <c r="M566" s="730"/>
      <c r="N566" s="707" t="s">
        <v>146</v>
      </c>
      <c r="O566" s="707" t="s">
        <v>2652</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419</v>
      </c>
      <c r="K567" s="732"/>
      <c r="L567" s="729"/>
      <c r="M567" s="730"/>
      <c r="N567" s="707" t="s">
        <v>2778</v>
      </c>
      <c r="O567" s="707" t="s">
        <v>1411</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1692</v>
      </c>
      <c r="K568" s="732"/>
      <c r="L568" s="729"/>
      <c r="M568" s="730"/>
      <c r="N568" s="707" t="s">
        <v>2234</v>
      </c>
      <c r="O568" s="707" t="s">
        <v>2658</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1694</v>
      </c>
      <c r="K569" s="732"/>
      <c r="L569" s="729"/>
      <c r="M569" s="730"/>
      <c r="N569" s="1179" t="s">
        <v>805</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1696</v>
      </c>
      <c r="K570" s="732"/>
      <c r="L570" s="729"/>
      <c r="M570" s="730"/>
      <c r="N570" s="1179" t="s">
        <v>806</v>
      </c>
      <c r="O570" s="1179" t="s">
        <v>192</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2776</v>
      </c>
      <c r="K571" s="732"/>
      <c r="L571" s="729"/>
      <c r="M571" s="730"/>
      <c r="N571" s="1179" t="s">
        <v>753</v>
      </c>
      <c r="O571" s="1179" t="s">
        <v>784</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2619</v>
      </c>
      <c r="K572" s="732"/>
      <c r="L572" s="729"/>
      <c r="M572" s="730"/>
      <c r="N572" s="1179" t="s">
        <v>755</v>
      </c>
      <c r="O572" s="1179" t="s">
        <v>1171</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1957</v>
      </c>
      <c r="K573" s="732"/>
      <c r="L573" s="729"/>
      <c r="M573" s="730"/>
      <c r="N573" s="1179" t="s">
        <v>2434</v>
      </c>
      <c r="O573" s="1179" t="s">
        <v>1284</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1959</v>
      </c>
      <c r="K574" s="732"/>
      <c r="L574" s="729"/>
      <c r="M574" s="730"/>
      <c r="N574" s="1179" t="s">
        <v>2434</v>
      </c>
      <c r="O574" s="1179" t="s">
        <v>1284</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1961</v>
      </c>
      <c r="K575" s="732"/>
      <c r="L575" s="729"/>
      <c r="M575" s="730"/>
      <c r="N575" s="1179" t="s">
        <v>47</v>
      </c>
      <c r="O575" s="1179" t="s">
        <v>1410</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1962</v>
      </c>
      <c r="K576" s="732"/>
      <c r="L576" s="729"/>
      <c r="M576" s="730"/>
      <c r="N576" s="1179" t="s">
        <v>2397</v>
      </c>
      <c r="O576" s="1179" t="s">
        <v>1404</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1964</v>
      </c>
      <c r="K577" s="732"/>
      <c r="L577" s="729"/>
      <c r="M577" s="730"/>
      <c r="N577" s="1179" t="s">
        <v>885</v>
      </c>
      <c r="O577" s="1179" t="s">
        <v>183</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1966</v>
      </c>
      <c r="K578" s="732"/>
      <c r="L578" s="729"/>
      <c r="M578" s="730"/>
      <c r="N578" s="1179" t="s">
        <v>1093</v>
      </c>
      <c r="O578" s="1179" t="s">
        <v>1159</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1968</v>
      </c>
      <c r="K579" s="732"/>
      <c r="L579" s="729"/>
      <c r="M579" s="730"/>
      <c r="N579" s="1179" t="s">
        <v>414</v>
      </c>
      <c r="O579" s="1179" t="s">
        <v>2772</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1970</v>
      </c>
      <c r="K580" s="732"/>
      <c r="L580" s="729"/>
      <c r="M580" s="730"/>
      <c r="N580" s="1179" t="s">
        <v>416</v>
      </c>
      <c r="O580" s="1179" t="s">
        <v>2309</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1971</v>
      </c>
      <c r="K581" s="732"/>
      <c r="L581" s="729"/>
      <c r="M581" s="730"/>
      <c r="N581" s="1179" t="s">
        <v>418</v>
      </c>
      <c r="O581" s="1179" t="s">
        <v>2705</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1937</v>
      </c>
      <c r="K582" s="732"/>
      <c r="L582" s="729"/>
      <c r="M582" s="730"/>
      <c r="N582" s="1179" t="s">
        <v>2772</v>
      </c>
      <c r="O582" s="1179" t="s">
        <v>1906</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1755</v>
      </c>
      <c r="K583" s="732"/>
      <c r="L583" s="729"/>
      <c r="M583" s="730"/>
      <c r="N583" s="1179" t="s">
        <v>1693</v>
      </c>
      <c r="O583" s="1179" t="s">
        <v>2656</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1756</v>
      </c>
      <c r="K584" s="732"/>
      <c r="L584" s="729"/>
      <c r="M584" s="730"/>
      <c r="N584" s="1179" t="s">
        <v>1695</v>
      </c>
      <c r="O584" s="1179" t="s">
        <v>342</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1758</v>
      </c>
      <c r="K585" s="732"/>
      <c r="L585" s="729"/>
      <c r="M585" s="730"/>
      <c r="N585" s="1179" t="s">
        <v>1534</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2422</v>
      </c>
      <c r="K586" s="732"/>
      <c r="L586" s="729"/>
      <c r="M586" s="730"/>
      <c r="N586" s="707" t="s">
        <v>2618</v>
      </c>
      <c r="O586" s="707" t="s">
        <v>2658</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593</v>
      </c>
      <c r="K587" s="732"/>
      <c r="L587" s="729"/>
      <c r="M587" s="730"/>
      <c r="N587" s="1179" t="s">
        <v>1126</v>
      </c>
      <c r="O587" s="1179" t="s">
        <v>670</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595</v>
      </c>
      <c r="K588" s="732"/>
      <c r="L588" s="729"/>
      <c r="M588" s="730"/>
      <c r="N588" s="1179" t="s">
        <v>1127</v>
      </c>
      <c r="O588" s="1179" t="s">
        <v>670</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597</v>
      </c>
      <c r="K589" s="732"/>
      <c r="L589" s="729"/>
      <c r="M589" s="730"/>
      <c r="N589" s="1179" t="s">
        <v>1128</v>
      </c>
      <c r="O589" s="1179" t="s">
        <v>670</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2192</v>
      </c>
      <c r="K590" s="732"/>
      <c r="L590" s="729"/>
      <c r="M590" s="730"/>
      <c r="N590" s="1179" t="s">
        <v>1947</v>
      </c>
      <c r="O590" s="1179" t="s">
        <v>2773</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1544</v>
      </c>
      <c r="K591" s="732"/>
      <c r="L591" s="729"/>
      <c r="M591" s="730"/>
      <c r="N591" s="1179" t="s">
        <v>1958</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1546</v>
      </c>
      <c r="K592" s="732"/>
      <c r="L592" s="729"/>
      <c r="M592" s="730"/>
      <c r="N592" s="1179" t="s">
        <v>1960</v>
      </c>
      <c r="O592" s="1179" t="s">
        <v>2391</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1547</v>
      </c>
      <c r="K593" s="732"/>
      <c r="L593" s="729"/>
      <c r="M593" s="730"/>
      <c r="N593" s="1179" t="s">
        <v>1963</v>
      </c>
      <c r="O593" s="1179" t="s">
        <v>2391</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1690</v>
      </c>
      <c r="K594" s="732"/>
      <c r="L594" s="729"/>
      <c r="M594" s="730"/>
      <c r="N594" s="1179" t="s">
        <v>1965</v>
      </c>
      <c r="O594" s="1179" t="s">
        <v>330</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2258</v>
      </c>
      <c r="K595" s="732"/>
      <c r="L595" s="729"/>
      <c r="M595" s="730"/>
      <c r="N595" s="1179" t="s">
        <v>1967</v>
      </c>
      <c r="O595" s="1179" t="s">
        <v>1780</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2260</v>
      </c>
      <c r="K596" s="732"/>
      <c r="L596" s="729"/>
      <c r="M596" s="730"/>
      <c r="N596" s="1179" t="s">
        <v>1969</v>
      </c>
      <c r="O596" s="1179" t="s">
        <v>340</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2262</v>
      </c>
      <c r="K597" s="732"/>
      <c r="L597" s="729"/>
      <c r="M597" s="730"/>
      <c r="N597" s="707" t="s">
        <v>2773</v>
      </c>
      <c r="O597" s="707" t="s">
        <v>109</v>
      </c>
      <c r="P597" s="730"/>
      <c r="R597" s="707" t="s">
        <v>2744</v>
      </c>
      <c r="S597" s="707" t="s">
        <v>670</v>
      </c>
      <c r="T597" s="2035" t="s">
        <v>2280</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1536</v>
      </c>
      <c r="K598" s="732"/>
      <c r="L598" s="729"/>
      <c r="M598" s="730"/>
      <c r="N598" s="1179" t="s">
        <v>2081</v>
      </c>
      <c r="O598" s="1179" t="s">
        <v>111</v>
      </c>
      <c r="P598" s="2035"/>
      <c r="R598" s="707" t="s">
        <v>2745</v>
      </c>
      <c r="S598" s="707" t="s">
        <v>338</v>
      </c>
      <c r="T598" s="2035" t="s">
        <v>2280</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1538</v>
      </c>
      <c r="K599" s="732"/>
      <c r="L599" s="729"/>
      <c r="M599" s="730"/>
      <c r="N599" s="1179" t="s">
        <v>1938</v>
      </c>
      <c r="O599" s="1179" t="s">
        <v>1160</v>
      </c>
      <c r="P599" s="730"/>
      <c r="R599" s="707" t="s">
        <v>2746</v>
      </c>
      <c r="S599" s="707" t="s">
        <v>2652</v>
      </c>
      <c r="T599" s="2035" t="s">
        <v>2280</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1664</v>
      </c>
      <c r="K600" s="732"/>
      <c r="L600" s="729"/>
      <c r="M600" s="730"/>
      <c r="N600" s="1179" t="s">
        <v>2774</v>
      </c>
      <c r="O600" s="1179" t="s">
        <v>1407</v>
      </c>
      <c r="P600" s="730"/>
      <c r="R600" s="707" t="s">
        <v>2747</v>
      </c>
      <c r="S600" s="707"/>
      <c r="T600" s="2035" t="s">
        <v>2280</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1666</v>
      </c>
      <c r="K601" s="732"/>
      <c r="L601" s="729"/>
      <c r="M601" s="730"/>
      <c r="N601" s="1179" t="s">
        <v>1757</v>
      </c>
      <c r="O601" s="1179" t="s">
        <v>2309</v>
      </c>
      <c r="P601" s="730"/>
      <c r="R601" s="707" t="s">
        <v>2748</v>
      </c>
      <c r="S601" s="707" t="s">
        <v>2144</v>
      </c>
      <c r="T601" s="2035" t="s">
        <v>2280</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2190</v>
      </c>
      <c r="K602" s="732"/>
      <c r="L602" s="729"/>
      <c r="M602" s="730"/>
      <c r="N602" s="1179" t="s">
        <v>886</v>
      </c>
      <c r="O602" s="1179" t="s">
        <v>2316</v>
      </c>
      <c r="P602" s="730"/>
      <c r="R602" s="707" t="s">
        <v>2749</v>
      </c>
      <c r="S602" s="707" t="s">
        <v>2652</v>
      </c>
      <c r="T602" s="2035" t="s">
        <v>2280</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2003</v>
      </c>
      <c r="K603" s="732"/>
      <c r="L603" s="729"/>
      <c r="M603" s="730"/>
      <c r="N603" s="1179" t="s">
        <v>2421</v>
      </c>
      <c r="O603" s="1179" t="s">
        <v>1782</v>
      </c>
      <c r="P603" s="730"/>
      <c r="R603" s="707" t="s">
        <v>2750</v>
      </c>
      <c r="S603" s="707" t="s">
        <v>1414</v>
      </c>
      <c r="T603" s="2035" t="s">
        <v>2280</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293</v>
      </c>
      <c r="K604" s="732"/>
      <c r="L604" s="729"/>
      <c r="M604" s="730"/>
      <c r="N604" s="1179" t="s">
        <v>2423</v>
      </c>
      <c r="O604" s="1179" t="s">
        <v>2313</v>
      </c>
      <c r="P604" s="730"/>
      <c r="R604" s="707" t="s">
        <v>2751</v>
      </c>
      <c r="S604" s="707" t="s">
        <v>2146</v>
      </c>
      <c r="T604" s="2035" t="s">
        <v>2280</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1804</v>
      </c>
      <c r="K605" s="732"/>
      <c r="L605" s="729"/>
      <c r="M605" s="730"/>
      <c r="N605" s="1179" t="s">
        <v>594</v>
      </c>
      <c r="O605" s="1179" t="s">
        <v>2772</v>
      </c>
      <c r="P605" s="730"/>
      <c r="R605" s="707" t="s">
        <v>2752</v>
      </c>
      <c r="S605" s="707" t="s">
        <v>713</v>
      </c>
      <c r="T605" s="2035" t="s">
        <v>2280</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276</v>
      </c>
      <c r="K606" s="732"/>
      <c r="L606" s="729"/>
      <c r="M606" s="730"/>
      <c r="N606" s="1179" t="s">
        <v>596</v>
      </c>
      <c r="O606" s="1179" t="s">
        <v>1284</v>
      </c>
      <c r="P606" s="730"/>
      <c r="R606" s="707" t="s">
        <v>2753</v>
      </c>
      <c r="S606" s="707" t="s">
        <v>670</v>
      </c>
      <c r="T606" s="2035" t="s">
        <v>2280</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290</v>
      </c>
      <c r="K607" s="732"/>
      <c r="L607" s="729"/>
      <c r="M607" s="730"/>
      <c r="N607" s="1179" t="s">
        <v>1129</v>
      </c>
      <c r="O607" s="1179" t="s">
        <v>670</v>
      </c>
      <c r="P607" s="730"/>
      <c r="R607" s="707" t="s">
        <v>2754</v>
      </c>
      <c r="S607" s="707" t="s">
        <v>2313</v>
      </c>
      <c r="T607" s="2035" t="s">
        <v>2280</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1256</v>
      </c>
      <c r="K608" s="732"/>
      <c r="L608" s="729"/>
      <c r="M608" s="730"/>
      <c r="N608" s="1179" t="s">
        <v>598</v>
      </c>
      <c r="O608" s="1179" t="s">
        <v>1779</v>
      </c>
      <c r="P608" s="730"/>
      <c r="R608" s="707" t="s">
        <v>2755</v>
      </c>
      <c r="S608" s="707" t="s">
        <v>2705</v>
      </c>
      <c r="T608" s="2035" t="s">
        <v>2280</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794</v>
      </c>
      <c r="K609" s="732"/>
      <c r="L609" s="729"/>
      <c r="M609" s="730"/>
      <c r="N609" s="1179" t="s">
        <v>1250</v>
      </c>
      <c r="O609" s="1179" t="s">
        <v>1160</v>
      </c>
      <c r="P609" s="730"/>
      <c r="R609" s="707" t="s">
        <v>2393</v>
      </c>
      <c r="S609" s="707" t="s">
        <v>2702</v>
      </c>
      <c r="T609" s="2035" t="s">
        <v>2280</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796</v>
      </c>
      <c r="K610" s="732"/>
      <c r="L610" s="729"/>
      <c r="M610" s="730"/>
      <c r="N610" s="1179" t="s">
        <v>1545</v>
      </c>
      <c r="O610" s="1179" t="s">
        <v>1780</v>
      </c>
      <c r="P610" s="730"/>
      <c r="R610" s="707" t="s">
        <v>2756</v>
      </c>
      <c r="S610" s="707" t="s">
        <v>2313</v>
      </c>
      <c r="T610" s="2035" t="s">
        <v>2280</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1090</v>
      </c>
      <c r="K611" s="732"/>
      <c r="L611" s="729"/>
      <c r="M611" s="730"/>
      <c r="N611" s="1179" t="s">
        <v>3506</v>
      </c>
      <c r="O611" s="1179" t="s">
        <v>1406</v>
      </c>
      <c r="P611" s="730"/>
      <c r="R611" s="707" t="s">
        <v>2757</v>
      </c>
      <c r="S611" s="707" t="s">
        <v>2655</v>
      </c>
      <c r="T611" s="2035" t="s">
        <v>2280</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1092</v>
      </c>
      <c r="K612" s="732"/>
      <c r="L612" s="729"/>
      <c r="M612" s="730"/>
      <c r="N612" s="1179" t="s">
        <v>1548</v>
      </c>
      <c r="O612" s="1179" t="s">
        <v>704</v>
      </c>
      <c r="P612" s="2036"/>
      <c r="R612" s="707" t="s">
        <v>2758</v>
      </c>
      <c r="S612" s="707" t="s">
        <v>2144</v>
      </c>
      <c r="T612" s="2035" t="s">
        <v>2280</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1942</v>
      </c>
      <c r="K613" s="732"/>
      <c r="L613" s="729"/>
      <c r="M613" s="730"/>
      <c r="N613" s="707" t="s">
        <v>3507</v>
      </c>
      <c r="O613" s="707" t="s">
        <v>124</v>
      </c>
      <c r="P613" s="730"/>
      <c r="R613" s="707" t="s">
        <v>1111</v>
      </c>
      <c r="S613" s="707" t="s">
        <v>1553</v>
      </c>
      <c r="T613" s="2035" t="s">
        <v>2280</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1944</v>
      </c>
      <c r="K614" s="732"/>
      <c r="L614" s="729"/>
      <c r="M614" s="730"/>
      <c r="N614" s="1179" t="s">
        <v>1691</v>
      </c>
      <c r="O614" s="1179" t="s">
        <v>1902</v>
      </c>
      <c r="P614" s="2035"/>
      <c r="R614" s="707" t="s">
        <v>961</v>
      </c>
      <c r="S614" s="707" t="s">
        <v>1169</v>
      </c>
      <c r="T614" s="2035" t="s">
        <v>2280</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1945</v>
      </c>
      <c r="K615" s="732"/>
      <c r="L615" s="729"/>
      <c r="M615" s="730"/>
      <c r="N615" s="1179" t="s">
        <v>2259</v>
      </c>
      <c r="O615" s="1179" t="s">
        <v>1745</v>
      </c>
      <c r="P615" s="730"/>
      <c r="R615" s="707" t="s">
        <v>1112</v>
      </c>
      <c r="S615" s="707" t="s">
        <v>670</v>
      </c>
      <c r="T615" s="2035" t="s">
        <v>2280</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1204</v>
      </c>
      <c r="K616" s="732"/>
      <c r="L616" s="729"/>
      <c r="M616" s="730"/>
      <c r="N616" s="707" t="s">
        <v>2261</v>
      </c>
      <c r="O616" s="707" t="s">
        <v>1412</v>
      </c>
      <c r="P616" s="730"/>
      <c r="R616" s="707" t="s">
        <v>1113</v>
      </c>
      <c r="S616" s="707" t="s">
        <v>2046</v>
      </c>
      <c r="T616" s="2035" t="s">
        <v>2280</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421</v>
      </c>
      <c r="K617" s="732"/>
      <c r="L617" s="729"/>
      <c r="M617" s="730"/>
      <c r="N617" s="1179" t="s">
        <v>1535</v>
      </c>
      <c r="O617" s="1179" t="s">
        <v>342</v>
      </c>
      <c r="P617" s="2035"/>
      <c r="R617" s="707" t="s">
        <v>1114</v>
      </c>
      <c r="S617" s="707" t="s">
        <v>2142</v>
      </c>
      <c r="T617" s="2035" t="s">
        <v>2280</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3508</v>
      </c>
      <c r="O618" s="1179" t="s">
        <v>349</v>
      </c>
      <c r="P618" s="730"/>
      <c r="R618" s="707" t="s">
        <v>1115</v>
      </c>
      <c r="S618" s="707" t="s">
        <v>1162</v>
      </c>
      <c r="T618" s="2035" t="s">
        <v>2280</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1537</v>
      </c>
      <c r="O619" s="1179" t="s">
        <v>339</v>
      </c>
      <c r="P619" s="730"/>
      <c r="Q619" s="2037"/>
      <c r="R619" s="707" t="s">
        <v>1116</v>
      </c>
      <c r="S619" s="707" t="s">
        <v>1627</v>
      </c>
      <c r="T619" s="2035" t="s">
        <v>2280</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1130</v>
      </c>
      <c r="O620" s="707" t="s">
        <v>1782</v>
      </c>
      <c r="P620" s="730"/>
      <c r="R620" s="707" t="s">
        <v>1117</v>
      </c>
      <c r="S620" s="707" t="s">
        <v>2652</v>
      </c>
      <c r="T620" s="2035" t="s">
        <v>2280</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1539</v>
      </c>
      <c r="O621" s="707" t="s">
        <v>670</v>
      </c>
      <c r="P621" s="2035"/>
      <c r="R621" s="707" t="s">
        <v>1118</v>
      </c>
      <c r="S621" s="707" t="s">
        <v>167</v>
      </c>
      <c r="T621" s="2035" t="s">
        <v>2280</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2282</v>
      </c>
      <c r="K622" s="732"/>
      <c r="L622" s="729"/>
      <c r="M622" s="730"/>
      <c r="N622" s="1179" t="s">
        <v>1665</v>
      </c>
      <c r="O622" s="1179" t="s">
        <v>334</v>
      </c>
      <c r="P622" s="2035"/>
      <c r="R622" s="707" t="s">
        <v>1119</v>
      </c>
      <c r="S622" s="707" t="s">
        <v>1421</v>
      </c>
      <c r="T622" s="2035" t="s">
        <v>2280</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2284</v>
      </c>
      <c r="K623" s="732"/>
      <c r="L623" s="729"/>
      <c r="M623" s="730"/>
      <c r="N623" s="1179" t="s">
        <v>2191</v>
      </c>
      <c r="O623" s="1179" t="s">
        <v>1011</v>
      </c>
      <c r="P623" s="730"/>
      <c r="R623" s="707" t="s">
        <v>1120</v>
      </c>
      <c r="S623" s="707" t="s">
        <v>1627</v>
      </c>
      <c r="T623" s="2035" t="s">
        <v>2280</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2286</v>
      </c>
      <c r="K624" s="732"/>
      <c r="L624" s="729"/>
      <c r="M624" s="730"/>
      <c r="N624" s="1179" t="s">
        <v>2004</v>
      </c>
      <c r="O624" s="1179" t="s">
        <v>2086</v>
      </c>
      <c r="P624" s="730"/>
      <c r="R624" s="707" t="s">
        <v>1121</v>
      </c>
      <c r="S624" s="707" t="s">
        <v>1176</v>
      </c>
      <c r="T624" s="2035" t="s">
        <v>2280</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2288</v>
      </c>
      <c r="K625" s="732"/>
      <c r="L625" s="729"/>
      <c r="M625" s="730"/>
      <c r="N625" s="1179" t="s">
        <v>294</v>
      </c>
      <c r="O625" s="1179" t="s">
        <v>2086</v>
      </c>
      <c r="P625" s="730"/>
      <c r="R625" s="707" t="s">
        <v>1122</v>
      </c>
      <c r="S625" s="707" t="s">
        <v>2142</v>
      </c>
      <c r="T625" s="2035" t="s">
        <v>2280</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2290</v>
      </c>
      <c r="K626" s="732"/>
      <c r="L626" s="729"/>
      <c r="M626" s="730"/>
      <c r="N626" s="1179" t="s">
        <v>1805</v>
      </c>
      <c r="O626" s="1179" t="s">
        <v>2318</v>
      </c>
      <c r="P626" s="730"/>
      <c r="R626" s="1179" t="s">
        <v>883</v>
      </c>
      <c r="S626" s="1179" t="s">
        <v>929</v>
      </c>
      <c r="T626" s="2035" t="s">
        <v>2280</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277</v>
      </c>
      <c r="O627" s="1179" t="s">
        <v>714</v>
      </c>
      <c r="P627" s="730"/>
      <c r="R627" s="707" t="s">
        <v>1123</v>
      </c>
      <c r="S627" s="707" t="s">
        <v>2655</v>
      </c>
      <c r="T627" s="2035" t="s">
        <v>2280</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2154</v>
      </c>
      <c r="K628" s="732"/>
      <c r="L628" s="729"/>
      <c r="M628" s="730"/>
      <c r="N628" s="1179" t="s">
        <v>1255</v>
      </c>
      <c r="O628" s="1179" t="s">
        <v>167</v>
      </c>
      <c r="P628" s="730"/>
      <c r="R628" s="707" t="s">
        <v>1717</v>
      </c>
      <c r="S628" s="707" t="s">
        <v>2702</v>
      </c>
      <c r="T628" s="2035" t="s">
        <v>2280</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1621</v>
      </c>
      <c r="K629" s="732"/>
      <c r="L629" s="729"/>
      <c r="M629" s="730"/>
      <c r="N629" s="1179" t="s">
        <v>1257</v>
      </c>
      <c r="O629" s="1179" t="s">
        <v>167</v>
      </c>
      <c r="P629" s="730"/>
      <c r="R629" s="707" t="s">
        <v>1124</v>
      </c>
      <c r="S629" s="707"/>
      <c r="T629" s="2035" t="s">
        <v>2280</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1623</v>
      </c>
      <c r="K630" s="732"/>
      <c r="L630" s="729"/>
      <c r="M630" s="730"/>
      <c r="N630" s="1179" t="s">
        <v>795</v>
      </c>
      <c r="O630" s="1179" t="s">
        <v>1414</v>
      </c>
      <c r="P630" s="730"/>
      <c r="R630" s="707" t="s">
        <v>192</v>
      </c>
      <c r="S630" s="707" t="s">
        <v>167</v>
      </c>
      <c r="T630" s="2035" t="s">
        <v>2280</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1625</v>
      </c>
      <c r="K631" s="732"/>
      <c r="L631" s="729"/>
      <c r="M631" s="730"/>
      <c r="N631" s="1179" t="s">
        <v>259</v>
      </c>
      <c r="O631" s="1179" t="s">
        <v>2772</v>
      </c>
      <c r="P631" s="730"/>
      <c r="R631" s="707" t="s">
        <v>1125</v>
      </c>
      <c r="S631" s="707" t="s">
        <v>183</v>
      </c>
      <c r="T631" s="2035" t="s">
        <v>2280</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1091</v>
      </c>
      <c r="O632" s="1179" t="s">
        <v>2561</v>
      </c>
      <c r="P632" s="730"/>
      <c r="R632" s="707" t="s">
        <v>2434</v>
      </c>
      <c r="S632" s="707" t="s">
        <v>1284</v>
      </c>
      <c r="T632" s="2035" t="s">
        <v>2280</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1874</v>
      </c>
      <c r="O633" s="1179" t="s">
        <v>2655</v>
      </c>
      <c r="P633" s="730"/>
      <c r="R633" s="707" t="s">
        <v>1126</v>
      </c>
      <c r="S633" s="707" t="s">
        <v>670</v>
      </c>
      <c r="T633" s="2035" t="s">
        <v>2280</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1943</v>
      </c>
      <c r="O634" s="1179" t="s">
        <v>113</v>
      </c>
      <c r="P634" s="730"/>
      <c r="R634" s="707" t="s">
        <v>1127</v>
      </c>
      <c r="S634" s="707" t="s">
        <v>670</v>
      </c>
      <c r="T634" s="2035" t="s">
        <v>2280</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1165</v>
      </c>
      <c r="O635" s="1179" t="s">
        <v>782</v>
      </c>
      <c r="P635" s="730"/>
      <c r="R635" s="707" t="s">
        <v>1128</v>
      </c>
      <c r="S635" s="707" t="s">
        <v>670</v>
      </c>
      <c r="T635" s="2035" t="s">
        <v>2280</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1131</v>
      </c>
      <c r="O636" s="1179" t="s">
        <v>1013</v>
      </c>
      <c r="P636" s="730"/>
      <c r="R636" s="707" t="s">
        <v>1129</v>
      </c>
      <c r="S636" s="707" t="s">
        <v>670</v>
      </c>
      <c r="T636" s="2035" t="s">
        <v>2280</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829</v>
      </c>
      <c r="K637" s="732"/>
      <c r="L637" s="729"/>
      <c r="M637" s="730"/>
      <c r="N637" s="1179" t="s">
        <v>1169</v>
      </c>
      <c r="O637" s="1179" t="s">
        <v>1411</v>
      </c>
      <c r="P637" s="730"/>
      <c r="R637" s="707" t="s">
        <v>1130</v>
      </c>
      <c r="S637" s="707" t="s">
        <v>1782</v>
      </c>
      <c r="T637" s="2035" t="s">
        <v>2280</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778</v>
      </c>
      <c r="K638" s="732"/>
      <c r="L638" s="729"/>
      <c r="M638" s="730"/>
      <c r="N638" s="1179" t="s">
        <v>422</v>
      </c>
      <c r="O638" s="1179" t="s">
        <v>714</v>
      </c>
      <c r="P638" s="730"/>
      <c r="R638" s="707" t="s">
        <v>1131</v>
      </c>
      <c r="S638" s="707" t="s">
        <v>1013</v>
      </c>
      <c r="T638" s="2035" t="s">
        <v>2280</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780</v>
      </c>
      <c r="K639" s="732"/>
      <c r="L639" s="729"/>
      <c r="M639" s="730"/>
      <c r="N639" s="707" t="s">
        <v>1132</v>
      </c>
      <c r="O639" s="707" t="s">
        <v>125</v>
      </c>
      <c r="P639" s="730"/>
      <c r="R639" s="707" t="s">
        <v>1132</v>
      </c>
      <c r="S639" s="707" t="s">
        <v>125</v>
      </c>
      <c r="T639" s="2035" t="s">
        <v>2280</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1251</v>
      </c>
      <c r="K640" s="732"/>
      <c r="L640" s="729"/>
      <c r="M640" s="730"/>
      <c r="N640" s="1179" t="s">
        <v>5</v>
      </c>
      <c r="O640" s="1179" t="s">
        <v>1404</v>
      </c>
      <c r="P640" s="2035"/>
      <c r="R640" s="707" t="s">
        <v>1133</v>
      </c>
      <c r="S640" s="707" t="s">
        <v>670</v>
      </c>
      <c r="T640" s="2035" t="s">
        <v>2280</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1106</v>
      </c>
      <c r="K641" s="732"/>
      <c r="L641" s="729"/>
      <c r="M641" s="730"/>
      <c r="N641" s="1179" t="s">
        <v>7</v>
      </c>
      <c r="O641" s="1179" t="s">
        <v>2557</v>
      </c>
      <c r="P641" s="730"/>
      <c r="R641" s="707" t="s">
        <v>1134</v>
      </c>
      <c r="S641" s="707" t="s">
        <v>335</v>
      </c>
      <c r="T641" s="2035" t="s">
        <v>2280</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1107</v>
      </c>
      <c r="K642" s="732"/>
      <c r="L642" s="729"/>
      <c r="M642" s="730"/>
      <c r="N642" s="1179" t="s">
        <v>9</v>
      </c>
      <c r="O642" s="1179" t="s">
        <v>2052</v>
      </c>
      <c r="P642" s="730"/>
      <c r="R642" s="707" t="s">
        <v>1135</v>
      </c>
      <c r="S642" s="707" t="s">
        <v>339</v>
      </c>
      <c r="T642" s="2035" t="s">
        <v>2280</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1109</v>
      </c>
      <c r="K643" s="732"/>
      <c r="L643" s="729"/>
      <c r="M643" s="730"/>
      <c r="N643" s="1179" t="s">
        <v>1133</v>
      </c>
      <c r="O643" s="1179" t="s">
        <v>670</v>
      </c>
      <c r="P643" s="730"/>
      <c r="R643" s="707" t="s">
        <v>887</v>
      </c>
      <c r="S643" s="707" t="s">
        <v>1400</v>
      </c>
      <c r="T643" s="2035" t="s">
        <v>2280</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2414</v>
      </c>
      <c r="K644" s="732"/>
      <c r="L644" s="729"/>
      <c r="M644" s="730"/>
      <c r="N644" s="1179" t="s">
        <v>1134</v>
      </c>
      <c r="O644" s="1179" t="s">
        <v>335</v>
      </c>
      <c r="P644" s="730"/>
      <c r="R644" s="707" t="s">
        <v>1136</v>
      </c>
      <c r="S644" s="707" t="s">
        <v>713</v>
      </c>
      <c r="T644" s="2035" t="s">
        <v>2280</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2416</v>
      </c>
      <c r="K645" s="732"/>
      <c r="L645" s="729"/>
      <c r="M645" s="730"/>
      <c r="N645" s="1179" t="s">
        <v>2281</v>
      </c>
      <c r="O645" s="1179" t="s">
        <v>1414</v>
      </c>
      <c r="P645" s="730"/>
      <c r="R645" s="707" t="s">
        <v>1137</v>
      </c>
      <c r="S645" s="707" t="s">
        <v>1627</v>
      </c>
      <c r="T645" s="2035" t="s">
        <v>2280</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1894</v>
      </c>
      <c r="K646" s="732"/>
      <c r="L646" s="729"/>
      <c r="M646" s="730"/>
      <c r="N646" s="1179" t="s">
        <v>2283</v>
      </c>
      <c r="O646" s="1179" t="s">
        <v>2324</v>
      </c>
      <c r="P646" s="730"/>
      <c r="R646" s="707" t="s">
        <v>1138</v>
      </c>
      <c r="S646" s="707" t="s">
        <v>670</v>
      </c>
      <c r="T646" s="2035" t="s">
        <v>2280</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2692</v>
      </c>
      <c r="K647" s="732"/>
      <c r="L647" s="729"/>
      <c r="M647" s="730"/>
      <c r="N647" s="1179" t="s">
        <v>2285</v>
      </c>
      <c r="O647" s="1179" t="s">
        <v>183</v>
      </c>
      <c r="P647" s="730"/>
      <c r="R647" s="707" t="s">
        <v>1139</v>
      </c>
      <c r="S647" s="707" t="s">
        <v>705</v>
      </c>
      <c r="T647" s="2035" t="s">
        <v>2280</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2303</v>
      </c>
      <c r="K648" s="732"/>
      <c r="L648" s="729"/>
      <c r="M648" s="730"/>
      <c r="N648" s="1179" t="s">
        <v>2287</v>
      </c>
      <c r="O648" s="1179" t="s">
        <v>1550</v>
      </c>
      <c r="P648" s="730"/>
      <c r="R648" s="707" t="s">
        <v>1140</v>
      </c>
      <c r="S648" s="707" t="s">
        <v>167</v>
      </c>
      <c r="T648" s="2035" t="s">
        <v>2280</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1722</v>
      </c>
      <c r="K649" s="732"/>
      <c r="L649" s="729"/>
      <c r="M649" s="730"/>
      <c r="N649" s="707" t="s">
        <v>2289</v>
      </c>
      <c r="O649" s="707" t="s">
        <v>714</v>
      </c>
      <c r="P649" s="2036"/>
      <c r="R649" s="707" t="s">
        <v>1141</v>
      </c>
      <c r="S649" s="707" t="s">
        <v>2046</v>
      </c>
      <c r="T649" s="2035" t="s">
        <v>2280</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1723</v>
      </c>
      <c r="K650" s="732"/>
      <c r="L650" s="729"/>
      <c r="M650" s="730"/>
      <c r="N650" s="1179" t="s">
        <v>92</v>
      </c>
      <c r="O650" s="1179" t="s">
        <v>124</v>
      </c>
      <c r="P650" s="2035"/>
      <c r="R650" s="707" t="s">
        <v>1142</v>
      </c>
      <c r="S650" s="707" t="s">
        <v>2142</v>
      </c>
      <c r="T650" s="2035" t="s">
        <v>2280</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1725</v>
      </c>
      <c r="K651" s="732"/>
      <c r="L651" s="729"/>
      <c r="M651" s="730"/>
      <c r="N651" s="1179" t="s">
        <v>1620</v>
      </c>
      <c r="O651" s="1179" t="s">
        <v>2326</v>
      </c>
      <c r="P651" s="730"/>
      <c r="R651" s="707" t="s">
        <v>1143</v>
      </c>
      <c r="S651" s="707" t="s">
        <v>670</v>
      </c>
      <c r="T651" s="2035" t="s">
        <v>2280</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1726</v>
      </c>
      <c r="K652" s="732"/>
      <c r="L652" s="729"/>
      <c r="M652" s="730"/>
      <c r="N652" s="707" t="s">
        <v>1622</v>
      </c>
      <c r="O652" s="707" t="s">
        <v>208</v>
      </c>
      <c r="P652" s="730"/>
      <c r="R652" s="707" t="s">
        <v>1144</v>
      </c>
      <c r="S652" s="707" t="s">
        <v>1782</v>
      </c>
      <c r="T652" s="2035" t="s">
        <v>2280</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1728</v>
      </c>
      <c r="K653" s="732"/>
      <c r="L653" s="729"/>
      <c r="M653" s="730"/>
      <c r="N653" s="1179" t="s">
        <v>1624</v>
      </c>
      <c r="O653" s="1179" t="s">
        <v>1553</v>
      </c>
      <c r="P653" s="2035"/>
      <c r="R653" s="707" t="s">
        <v>1145</v>
      </c>
      <c r="S653" s="707" t="s">
        <v>2655</v>
      </c>
      <c r="T653" s="2035" t="s">
        <v>2280</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1729</v>
      </c>
      <c r="K654" s="732"/>
      <c r="L654" s="729"/>
      <c r="M654" s="730"/>
      <c r="N654" s="1179" t="s">
        <v>1626</v>
      </c>
      <c r="O654" s="1179" t="s">
        <v>2316</v>
      </c>
      <c r="P654" s="730"/>
      <c r="R654" s="707" t="s">
        <v>1146</v>
      </c>
      <c r="S654" s="707" t="s">
        <v>167</v>
      </c>
      <c r="T654" s="2035" t="s">
        <v>2280</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1731</v>
      </c>
      <c r="K655" s="732"/>
      <c r="L655" s="729"/>
      <c r="M655" s="730"/>
      <c r="N655" s="1179" t="s">
        <v>66</v>
      </c>
      <c r="O655" s="1179" t="s">
        <v>1412</v>
      </c>
      <c r="P655" s="730"/>
      <c r="R655" s="707" t="s">
        <v>1147</v>
      </c>
      <c r="S655" s="707" t="s">
        <v>167</v>
      </c>
      <c r="T655" s="2035" t="s">
        <v>2280</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2581</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175</v>
      </c>
      <c r="K657" s="732"/>
      <c r="L657" s="729"/>
      <c r="M657" s="730"/>
      <c r="N657" s="1179" t="s">
        <v>70</v>
      </c>
      <c r="O657" s="1179" t="s">
        <v>933</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1049</v>
      </c>
      <c r="K658" s="732"/>
      <c r="L658" s="729"/>
      <c r="M658" s="730"/>
      <c r="N658" s="1179" t="s">
        <v>72</v>
      </c>
      <c r="O658" s="1179" t="s">
        <v>1627</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1050</v>
      </c>
      <c r="K659" s="732"/>
      <c r="L659" s="729"/>
      <c r="M659" s="730"/>
      <c r="N659" s="1179" t="s">
        <v>830</v>
      </c>
      <c r="O659" s="1179" t="s">
        <v>2652</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1052</v>
      </c>
      <c r="K660" s="732"/>
      <c r="L660" s="729"/>
      <c r="M660" s="730"/>
      <c r="N660" s="707" t="s">
        <v>779</v>
      </c>
      <c r="O660" s="707" t="s">
        <v>2658</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2537</v>
      </c>
      <c r="K661" s="732"/>
      <c r="L661" s="729"/>
      <c r="M661" s="730"/>
      <c r="N661" s="1179" t="s">
        <v>998</v>
      </c>
      <c r="O661" s="1179" t="s">
        <v>2706</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2699</v>
      </c>
      <c r="K662" s="732"/>
      <c r="L662" s="729"/>
      <c r="M662" s="730"/>
      <c r="N662" s="1179" t="s">
        <v>1135</v>
      </c>
      <c r="O662" s="1179" t="s">
        <v>339</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2138</v>
      </c>
      <c r="K663" s="732"/>
      <c r="L663" s="729"/>
      <c r="M663" s="730"/>
      <c r="N663" s="1179" t="s">
        <v>1252</v>
      </c>
      <c r="O663" s="1179" t="s">
        <v>2086</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1001</v>
      </c>
      <c r="K664" s="732"/>
      <c r="L664" s="729"/>
      <c r="M664" s="730"/>
      <c r="N664" s="1179" t="s">
        <v>3509</v>
      </c>
      <c r="O664" s="1179" t="s">
        <v>1904</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823</v>
      </c>
      <c r="K665" s="732"/>
      <c r="L665" s="729"/>
      <c r="M665" s="730"/>
      <c r="N665" s="707" t="s">
        <v>1108</v>
      </c>
      <c r="O665" s="707" t="s">
        <v>1163</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1567</v>
      </c>
      <c r="K666" s="732"/>
      <c r="L666" s="729"/>
      <c r="M666" s="730"/>
      <c r="N666" s="1179" t="s">
        <v>2415</v>
      </c>
      <c r="O666" s="1179" t="s">
        <v>2309</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1569</v>
      </c>
      <c r="K667" s="732"/>
      <c r="L667" s="729"/>
      <c r="M667" s="730"/>
      <c r="N667" s="1179" t="s">
        <v>2417</v>
      </c>
      <c r="O667" s="1179" t="s">
        <v>705</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1571</v>
      </c>
      <c r="K668" s="732"/>
      <c r="L668" s="729"/>
      <c r="M668" s="730"/>
      <c r="N668" s="1179" t="s">
        <v>1895</v>
      </c>
      <c r="O668" s="1179" t="s">
        <v>784</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1392</v>
      </c>
      <c r="K669" s="732"/>
      <c r="L669" s="729"/>
      <c r="M669" s="730"/>
      <c r="N669" s="1179" t="s">
        <v>2693</v>
      </c>
      <c r="O669" s="1179" t="s">
        <v>2144</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1394</v>
      </c>
      <c r="K670" s="732"/>
      <c r="L670" s="729"/>
      <c r="M670" s="730"/>
      <c r="N670" s="1179" t="s">
        <v>2304</v>
      </c>
      <c r="O670" s="1179" t="s">
        <v>1284</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2128</v>
      </c>
      <c r="K671" s="732"/>
      <c r="L671" s="729"/>
      <c r="M671" s="730"/>
      <c r="N671" s="707" t="s">
        <v>1724</v>
      </c>
      <c r="O671" s="707" t="s">
        <v>707</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785</v>
      </c>
      <c r="K672" s="732"/>
      <c r="L672" s="729"/>
      <c r="M672" s="730"/>
      <c r="N672" s="1179" t="s">
        <v>887</v>
      </c>
      <c r="O672" s="1179" t="s">
        <v>1400</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1347</v>
      </c>
      <c r="K673" s="732"/>
      <c r="L673" s="729"/>
      <c r="M673" s="730"/>
      <c r="N673" s="1179" t="s">
        <v>1727</v>
      </c>
      <c r="O673" s="1179" t="s">
        <v>2767</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2016</v>
      </c>
      <c r="K674" s="732"/>
      <c r="L674" s="729"/>
      <c r="M674" s="730"/>
      <c r="N674" s="1179" t="s">
        <v>1730</v>
      </c>
      <c r="O674" s="1179" t="s">
        <v>1745</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2017</v>
      </c>
      <c r="K675" s="732"/>
      <c r="L675" s="729"/>
      <c r="M675" s="730"/>
      <c r="N675" s="1179" t="s">
        <v>1137</v>
      </c>
      <c r="O675" s="1179" t="s">
        <v>1627</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2019</v>
      </c>
      <c r="K676" s="732"/>
      <c r="L676" s="729"/>
      <c r="M676" s="730"/>
      <c r="N676" s="1179" t="s">
        <v>2580</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2021</v>
      </c>
      <c r="K677" s="732"/>
      <c r="L677" s="729"/>
      <c r="M677" s="730"/>
      <c r="N677" s="1179" t="s">
        <v>870</v>
      </c>
      <c r="O677" s="1179" t="s">
        <v>1284</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2023</v>
      </c>
      <c r="K678" s="732"/>
      <c r="L678" s="729"/>
      <c r="M678" s="730"/>
      <c r="N678" s="1179" t="s">
        <v>1390</v>
      </c>
      <c r="O678" s="1179" t="s">
        <v>2044</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534</v>
      </c>
      <c r="K679" s="732"/>
      <c r="L679" s="729"/>
      <c r="M679" s="730"/>
      <c r="N679" s="1179" t="s">
        <v>176</v>
      </c>
      <c r="O679" s="1179" t="s">
        <v>1416</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2709</v>
      </c>
      <c r="K680" s="732"/>
      <c r="L680" s="729"/>
      <c r="M680" s="730"/>
      <c r="N680" s="1179" t="s">
        <v>1051</v>
      </c>
      <c r="O680" s="1179" t="s">
        <v>1779</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2711</v>
      </c>
      <c r="K681" s="732"/>
      <c r="L681" s="729"/>
      <c r="M681" s="730"/>
      <c r="N681" s="1179" t="s">
        <v>3510</v>
      </c>
      <c r="O681" s="1179" t="s">
        <v>345</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1225</v>
      </c>
      <c r="K682" s="732"/>
      <c r="L682" s="729"/>
      <c r="M682" s="730"/>
      <c r="N682" s="707" t="s">
        <v>3511</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2688</v>
      </c>
      <c r="K683" s="732"/>
      <c r="L683" s="729"/>
      <c r="M683" s="730"/>
      <c r="N683" s="1179" t="s">
        <v>1413</v>
      </c>
      <c r="O683" s="1179" t="s">
        <v>167</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2690</v>
      </c>
      <c r="K684" s="732"/>
      <c r="L684" s="729"/>
      <c r="M684" s="730"/>
      <c r="N684" s="1179" t="s">
        <v>2700</v>
      </c>
      <c r="O684" s="1179" t="s">
        <v>927</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1638</v>
      </c>
      <c r="K685" s="732"/>
      <c r="L685" s="729"/>
      <c r="M685" s="730"/>
      <c r="N685" s="1179" t="s">
        <v>1138</v>
      </c>
      <c r="O685" s="1179" t="s">
        <v>670</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1639</v>
      </c>
      <c r="K686" s="732"/>
      <c r="L686" s="729"/>
      <c r="M686" s="730"/>
      <c r="N686" s="1179" t="s">
        <v>2309</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2239</v>
      </c>
      <c r="K687" s="732"/>
      <c r="L687" s="729"/>
      <c r="M687" s="730"/>
      <c r="N687" s="1179" t="s">
        <v>3210</v>
      </c>
      <c r="O687" s="1179" t="s">
        <v>1718</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2240</v>
      </c>
      <c r="K688" s="732"/>
      <c r="L688" s="729"/>
      <c r="M688" s="730"/>
      <c r="N688" s="1179" t="s">
        <v>1568</v>
      </c>
      <c r="O688" s="1179" t="s">
        <v>2705</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1733</v>
      </c>
      <c r="K689" s="732"/>
      <c r="L689" s="729"/>
      <c r="M689" s="730"/>
      <c r="N689" s="1179" t="s">
        <v>3512</v>
      </c>
      <c r="O689" s="1179" t="s">
        <v>2086</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1735</v>
      </c>
      <c r="K690" s="732"/>
      <c r="L690" s="729"/>
      <c r="M690" s="730"/>
      <c r="N690" s="1179" t="s">
        <v>1570</v>
      </c>
      <c r="O690" s="1179" t="s">
        <v>344</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993</v>
      </c>
      <c r="K691" s="732"/>
      <c r="L691" s="729"/>
      <c r="M691" s="730"/>
      <c r="N691" s="1179" t="s">
        <v>1139</v>
      </c>
      <c r="O691" s="1179" t="s">
        <v>705</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995</v>
      </c>
      <c r="K692" s="732"/>
      <c r="L692" s="729"/>
      <c r="M692" s="730"/>
      <c r="N692" s="1179" t="s">
        <v>1393</v>
      </c>
      <c r="O692" s="1179" t="s">
        <v>2322</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997</v>
      </c>
      <c r="K693" s="732"/>
      <c r="L693" s="729"/>
      <c r="M693" s="730"/>
      <c r="N693" s="1179" t="s">
        <v>1395</v>
      </c>
      <c r="O693" s="1179" t="s">
        <v>2705</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2670</v>
      </c>
      <c r="K694" s="732"/>
      <c r="L694" s="729"/>
      <c r="M694" s="730"/>
      <c r="N694" s="707" t="s">
        <v>2129</v>
      </c>
      <c r="O694" s="707" t="s">
        <v>1173</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2672</v>
      </c>
      <c r="K695" s="732"/>
      <c r="L695" s="729"/>
      <c r="M695" s="730"/>
      <c r="N695" s="707" t="s">
        <v>786</v>
      </c>
      <c r="O695" s="707" t="s">
        <v>334</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2673</v>
      </c>
      <c r="K696" s="732"/>
      <c r="L696" s="729"/>
      <c r="M696" s="730"/>
      <c r="N696" s="1179" t="s">
        <v>1348</v>
      </c>
      <c r="O696" s="1179" t="s">
        <v>718</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2035</v>
      </c>
      <c r="K697" s="732"/>
      <c r="L697" s="729"/>
      <c r="M697" s="730"/>
      <c r="N697" s="1179" t="s">
        <v>1140</v>
      </c>
      <c r="O697" s="1179" t="s">
        <v>167</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2036</v>
      </c>
      <c r="K698" s="732"/>
      <c r="L698" s="729"/>
      <c r="M698" s="730"/>
      <c r="N698" s="1179" t="s">
        <v>2018</v>
      </c>
      <c r="O698" s="1179" t="s">
        <v>1171</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2038</v>
      </c>
      <c r="K699" s="732"/>
      <c r="L699" s="729"/>
      <c r="M699" s="730"/>
      <c r="N699" s="1179" t="s">
        <v>2020</v>
      </c>
      <c r="O699" s="1179" t="s">
        <v>1552</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688</v>
      </c>
      <c r="K700" s="732"/>
      <c r="L700" s="729"/>
      <c r="M700" s="730"/>
      <c r="N700" s="1179" t="s">
        <v>2022</v>
      </c>
      <c r="O700" s="1179" t="s">
        <v>2655</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690</v>
      </c>
      <c r="K701" s="732"/>
      <c r="L701" s="729"/>
      <c r="M701" s="730"/>
      <c r="N701" s="1179" t="s">
        <v>2024</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691</v>
      </c>
      <c r="K702" s="732"/>
      <c r="L702" s="729"/>
      <c r="M702" s="730"/>
      <c r="N702" s="1179" t="s">
        <v>535</v>
      </c>
      <c r="O702" s="1179" t="s">
        <v>2145</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2458</v>
      </c>
      <c r="K703" s="732"/>
      <c r="L703" s="729"/>
      <c r="M703" s="730"/>
      <c r="N703" s="1179" t="s">
        <v>2710</v>
      </c>
      <c r="O703" s="1179" t="s">
        <v>2048</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2712</v>
      </c>
      <c r="O704" s="1179" t="s">
        <v>2703</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1507</v>
      </c>
      <c r="K705" s="732"/>
      <c r="L705" s="729"/>
      <c r="M705" s="730"/>
      <c r="N705" s="1179" t="s">
        <v>1226</v>
      </c>
      <c r="O705" s="1179" t="s">
        <v>331</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2406</v>
      </c>
      <c r="K706" s="732"/>
      <c r="L706" s="729"/>
      <c r="M706" s="730"/>
      <c r="N706" s="1179" t="s">
        <v>2689</v>
      </c>
      <c r="O706" s="1179" t="s">
        <v>933</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2408</v>
      </c>
      <c r="K707" s="732"/>
      <c r="L707" s="729"/>
      <c r="M707" s="730"/>
      <c r="N707" s="1179" t="s">
        <v>871</v>
      </c>
      <c r="O707" s="1179" t="s">
        <v>1421</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1931</v>
      </c>
      <c r="K708" s="732"/>
      <c r="L708" s="729"/>
      <c r="M708" s="730"/>
      <c r="N708" s="1179" t="s">
        <v>1136</v>
      </c>
      <c r="O708" s="1179" t="s">
        <v>713</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1183</v>
      </c>
      <c r="K709" s="732"/>
      <c r="L709" s="729"/>
      <c r="M709" s="730"/>
      <c r="N709" s="1179" t="s">
        <v>1640</v>
      </c>
      <c r="O709" s="1179" t="s">
        <v>347</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2186</v>
      </c>
      <c r="K710" s="732"/>
      <c r="L710" s="729"/>
      <c r="M710" s="730"/>
      <c r="N710" s="1179" t="s">
        <v>3513</v>
      </c>
      <c r="O710" s="1179" t="s">
        <v>932</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2104</v>
      </c>
      <c r="K711" s="732"/>
      <c r="L711" s="729"/>
      <c r="M711" s="730"/>
      <c r="N711" s="1179" t="s">
        <v>2241</v>
      </c>
      <c r="O711" s="1179" t="s">
        <v>1414</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2106</v>
      </c>
      <c r="K712" s="732"/>
      <c r="L712" s="729"/>
      <c r="M712" s="730"/>
      <c r="N712" s="1179" t="s">
        <v>1734</v>
      </c>
      <c r="O712" s="1179" t="s">
        <v>1400</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2108</v>
      </c>
      <c r="K713" s="732"/>
      <c r="L713" s="729"/>
      <c r="M713" s="730"/>
      <c r="N713" s="1179" t="s">
        <v>994</v>
      </c>
      <c r="O713" s="1179" t="s">
        <v>2391</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527</v>
      </c>
      <c r="K714" s="732"/>
      <c r="L714" s="729"/>
      <c r="M714" s="730"/>
      <c r="N714" s="1179" t="s">
        <v>996</v>
      </c>
      <c r="O714" s="1179" t="s">
        <v>338</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478</v>
      </c>
      <c r="K715" s="732"/>
      <c r="L715" s="729"/>
      <c r="M715" s="730"/>
      <c r="N715" s="1179" t="s">
        <v>2671</v>
      </c>
      <c r="O715" s="1179" t="s">
        <v>670</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2236</v>
      </c>
      <c r="K716" s="732"/>
      <c r="L716" s="729"/>
      <c r="M716" s="730"/>
      <c r="N716" s="1179" t="s">
        <v>2034</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2263</v>
      </c>
      <c r="K717" s="732"/>
      <c r="L717" s="729"/>
      <c r="M717" s="730"/>
      <c r="N717" s="1179" t="s">
        <v>2037</v>
      </c>
      <c r="O717" s="1179" t="s">
        <v>2391</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2039</v>
      </c>
      <c r="O718" s="1179" t="s">
        <v>170</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689</v>
      </c>
      <c r="O719" s="1179" t="s">
        <v>2561</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872</v>
      </c>
      <c r="O720" s="1179" t="s">
        <v>2313</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1141</v>
      </c>
      <c r="O721" s="1179" t="s">
        <v>2046</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1142</v>
      </c>
      <c r="O722" s="1179" t="s">
        <v>2142</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1561</v>
      </c>
      <c r="O723" s="707" t="s">
        <v>1288</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2459</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1506</v>
      </c>
      <c r="O725" s="1179" t="s">
        <v>2391</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2405</v>
      </c>
      <c r="O726" s="1179" t="s">
        <v>2052</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2407</v>
      </c>
      <c r="O727" s="1179" t="s">
        <v>2309</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2409</v>
      </c>
      <c r="O728" s="1179" t="s">
        <v>2561</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3514</v>
      </c>
      <c r="O729" s="1179" t="s">
        <v>167</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1182</v>
      </c>
      <c r="O730" s="1179" t="s">
        <v>2320</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1184</v>
      </c>
      <c r="O731" s="1179" t="s">
        <v>1159</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2187</v>
      </c>
      <c r="O732" s="1179" t="s">
        <v>333</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2105</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2107</v>
      </c>
      <c r="O734" s="1179" t="s">
        <v>342</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2109</v>
      </c>
      <c r="O735" s="1179" t="s">
        <v>192</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3515</v>
      </c>
      <c r="O736" s="1179" t="s">
        <v>2046</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479</v>
      </c>
      <c r="O737" s="1179" t="s">
        <v>1401</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2237</v>
      </c>
      <c r="O738" s="1179" t="s">
        <v>784</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2264</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888</v>
      </c>
      <c r="O740" s="1179" t="s">
        <v>2142</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2265</v>
      </c>
      <c r="O741" s="1179" t="s">
        <v>2142</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2266</v>
      </c>
      <c r="O742" s="707" t="s">
        <v>1780</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2483</v>
      </c>
      <c r="O743" s="1179" t="s">
        <v>2010</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2484</v>
      </c>
      <c r="O744" s="1179" t="s">
        <v>167</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2485</v>
      </c>
      <c r="O745" s="1179" t="s">
        <v>1782</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2486</v>
      </c>
      <c r="O746" s="1179" t="s">
        <v>1171</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2487</v>
      </c>
      <c r="O747" s="1179" t="s">
        <v>2557</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2410</v>
      </c>
      <c r="O748" s="1179" t="s">
        <v>2314</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1737</v>
      </c>
      <c r="O749" s="1179" t="s">
        <v>2559</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1738</v>
      </c>
      <c r="O750" s="1179" t="s">
        <v>203</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1806</v>
      </c>
      <c r="O751" s="1179" t="s">
        <v>170</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1143</v>
      </c>
      <c r="O752" s="1179" t="s">
        <v>670</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873</v>
      </c>
      <c r="O753" s="1179" t="s">
        <v>2085</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1807</v>
      </c>
      <c r="O754" s="1179" t="s">
        <v>2705</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1808</v>
      </c>
      <c r="O755" s="1179" t="s">
        <v>2391</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1809</v>
      </c>
      <c r="O756" s="1179" t="s">
        <v>1782</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1810</v>
      </c>
      <c r="O757" s="1179" t="s">
        <v>167</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1811</v>
      </c>
      <c r="O758" s="1179" t="s">
        <v>704</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1812</v>
      </c>
      <c r="O759" s="1179" t="s">
        <v>1011</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1813</v>
      </c>
      <c r="O760" s="1179" t="s">
        <v>1284</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1814</v>
      </c>
      <c r="O761" s="1179" t="s">
        <v>718</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1144</v>
      </c>
      <c r="O762" s="707" t="s">
        <v>1782</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1815</v>
      </c>
      <c r="O763" s="1179" t="s">
        <v>192</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1816</v>
      </c>
      <c r="O764" s="1179" t="s">
        <v>183</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1817</v>
      </c>
      <c r="O765" s="1179" t="s">
        <v>2085</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1818</v>
      </c>
      <c r="O766" s="707" t="s">
        <v>167</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1819</v>
      </c>
      <c r="O767" s="1179" t="s">
        <v>2044</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1820</v>
      </c>
      <c r="O768" s="1179" t="s">
        <v>1416</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1821</v>
      </c>
      <c r="O769" s="1179" t="s">
        <v>1011</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1822</v>
      </c>
      <c r="O770" s="1179" t="s">
        <v>784</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1145</v>
      </c>
      <c r="O771" s="1179" t="s">
        <v>2655</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1823</v>
      </c>
      <c r="O772" s="1179" t="s">
        <v>333</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1824</v>
      </c>
      <c r="O773" s="1179" t="s">
        <v>347</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1825</v>
      </c>
      <c r="O774" s="1179" t="s">
        <v>172</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1826</v>
      </c>
      <c r="O775" s="1179" t="s">
        <v>2145</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1827</v>
      </c>
      <c r="O776" s="1179" t="s">
        <v>1553</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1828</v>
      </c>
      <c r="O777" s="1179" t="s">
        <v>2012</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1829</v>
      </c>
      <c r="O778" s="1179" t="s">
        <v>339</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1830</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310</v>
      </c>
      <c r="O780" s="730" t="s">
        <v>2561</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2557</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311</v>
      </c>
      <c r="O782" s="730" t="s">
        <v>2773</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312</v>
      </c>
      <c r="O783" s="638" t="s">
        <v>334</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313</v>
      </c>
      <c r="O784" s="638" t="s">
        <v>2146</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314</v>
      </c>
      <c r="O785" s="638" t="s">
        <v>1416</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315</v>
      </c>
      <c r="O786" s="638" t="s">
        <v>2050</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316</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317</v>
      </c>
      <c r="O788" s="638" t="s">
        <v>716</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1401</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1648</v>
      </c>
      <c r="O790" s="638" t="s">
        <v>718</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1146</v>
      </c>
      <c r="O791" s="638" t="s">
        <v>167</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1649</v>
      </c>
      <c r="O792" s="638" t="s">
        <v>784</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1650</v>
      </c>
      <c r="O793" s="638" t="s">
        <v>1902</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1651</v>
      </c>
      <c r="O794" s="638" t="s">
        <v>1162</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1147</v>
      </c>
      <c r="O795" s="638" t="s">
        <v>167</v>
      </c>
      <c r="X795" s="382"/>
      <c r="Y795" s="382"/>
      <c r="Z795" s="382"/>
      <c r="AA795" s="382"/>
      <c r="AB795" s="382"/>
      <c r="AC795" s="382"/>
      <c r="AD795" s="382"/>
      <c r="AE795" s="382"/>
      <c r="AF795" s="382"/>
      <c r="AG795" s="382"/>
    </row>
    <row r="796" spans="2:44" s="638" customFormat="1" ht="12" customHeight="1">
      <c r="B796" s="637"/>
      <c r="N796" s="638" t="s">
        <v>1652</v>
      </c>
      <c r="O796" s="638" t="s">
        <v>1400</v>
      </c>
      <c r="X796" s="382"/>
      <c r="Y796" s="382"/>
      <c r="Z796" s="382"/>
      <c r="AA796" s="382"/>
      <c r="AB796" s="382"/>
      <c r="AC796" s="382"/>
      <c r="AD796" s="382"/>
      <c r="AE796" s="382"/>
      <c r="AF796" s="382"/>
      <c r="AG796" s="382"/>
    </row>
    <row r="797" spans="2:44" s="638" customFormat="1" ht="12" customHeight="1">
      <c r="B797" s="637"/>
      <c r="N797" s="638" t="s">
        <v>1653</v>
      </c>
      <c r="O797" s="638" t="s">
        <v>173</v>
      </c>
      <c r="X797" s="382"/>
      <c r="Y797" s="382"/>
      <c r="Z797" s="382"/>
      <c r="AA797" s="382"/>
      <c r="AB797" s="382"/>
      <c r="AC797" s="382"/>
      <c r="AD797" s="382"/>
      <c r="AE797" s="382"/>
      <c r="AF797" s="382"/>
      <c r="AG797" s="382"/>
    </row>
    <row r="798" spans="2:44" s="638" customFormat="1" ht="12" customHeight="1">
      <c r="B798" s="637"/>
      <c r="N798" s="638" t="s">
        <v>1654</v>
      </c>
      <c r="O798" s="638" t="s">
        <v>1421</v>
      </c>
      <c r="X798" s="382"/>
      <c r="Y798" s="382"/>
      <c r="Z798" s="382"/>
      <c r="AA798" s="382"/>
      <c r="AB798" s="382"/>
      <c r="AC798" s="382"/>
      <c r="AD798" s="382"/>
      <c r="AE798" s="382"/>
      <c r="AF798" s="382"/>
      <c r="AG798" s="382"/>
    </row>
    <row r="799" spans="2:44" s="638" customFormat="1" ht="12" customHeight="1">
      <c r="B799" s="637"/>
      <c r="N799" s="638" t="s">
        <v>1655</v>
      </c>
      <c r="O799" s="638" t="s">
        <v>2012</v>
      </c>
      <c r="X799" s="382"/>
      <c r="Y799" s="382"/>
      <c r="Z799" s="382"/>
      <c r="AA799" s="382"/>
      <c r="AB799" s="382"/>
      <c r="AC799" s="382"/>
      <c r="AD799" s="382"/>
      <c r="AE799" s="382"/>
      <c r="AF799" s="382"/>
      <c r="AG799" s="382"/>
    </row>
    <row r="800" spans="2:44" s="638" customFormat="1" ht="12" customHeight="1">
      <c r="B800" s="637"/>
      <c r="N800" s="638" t="s">
        <v>1656</v>
      </c>
      <c r="O800" s="638" t="s">
        <v>2320</v>
      </c>
      <c r="X800" s="382"/>
      <c r="Y800" s="382"/>
      <c r="Z800" s="382"/>
      <c r="AA800" s="382"/>
      <c r="AB800" s="382"/>
      <c r="AC800" s="382"/>
      <c r="AD800" s="382"/>
      <c r="AE800" s="382"/>
      <c r="AF800" s="382"/>
      <c r="AG800" s="382"/>
    </row>
    <row r="801" spans="2:33" s="638" customFormat="1" ht="12" customHeight="1">
      <c r="B801" s="637"/>
      <c r="N801" s="638" t="s">
        <v>1657</v>
      </c>
      <c r="O801" s="638" t="s">
        <v>172</v>
      </c>
      <c r="X801" s="382"/>
      <c r="Y801" s="382"/>
      <c r="Z801" s="382"/>
      <c r="AA801" s="382"/>
      <c r="AB801" s="382"/>
      <c r="AC801" s="382"/>
      <c r="AD801" s="382"/>
      <c r="AE801" s="382"/>
      <c r="AF801" s="382"/>
      <c r="AG801" s="382"/>
    </row>
    <row r="802" spans="2:33" s="638" customFormat="1" ht="12" customHeight="1">
      <c r="B802" s="637"/>
      <c r="N802" s="638" t="s">
        <v>2538</v>
      </c>
      <c r="O802" s="638" t="s">
        <v>718</v>
      </c>
      <c r="X802" s="382"/>
      <c r="Y802" s="382"/>
      <c r="Z802" s="382"/>
      <c r="AA802" s="382"/>
      <c r="AB802" s="382"/>
      <c r="AC802" s="382"/>
      <c r="AD802" s="382"/>
      <c r="AE802" s="382"/>
      <c r="AF802" s="382"/>
      <c r="AG802" s="382"/>
    </row>
    <row r="803" spans="2:33" s="638" customFormat="1" ht="12" customHeight="1">
      <c r="B803" s="637"/>
      <c r="N803" s="638" t="s">
        <v>2539</v>
      </c>
      <c r="O803" s="638" t="s">
        <v>704</v>
      </c>
      <c r="X803" s="382"/>
      <c r="Y803" s="382"/>
      <c r="Z803" s="382"/>
      <c r="AA803" s="382"/>
      <c r="AB803" s="382"/>
      <c r="AC803" s="382"/>
      <c r="AD803" s="382"/>
      <c r="AE803" s="382"/>
      <c r="AF803" s="382"/>
      <c r="AG803" s="382"/>
    </row>
    <row r="804" spans="2:33" s="638" customFormat="1" ht="12" customHeight="1">
      <c r="B804" s="637"/>
      <c r="N804" s="638" t="s">
        <v>2540</v>
      </c>
      <c r="O804" s="638" t="s">
        <v>347</v>
      </c>
      <c r="X804" s="382"/>
      <c r="Y804" s="382"/>
      <c r="Z804" s="382"/>
      <c r="AA804" s="382"/>
      <c r="AB804" s="382"/>
      <c r="AC804" s="382"/>
      <c r="AD804" s="382"/>
      <c r="AE804" s="382"/>
      <c r="AF804" s="382"/>
      <c r="AG804" s="382"/>
    </row>
    <row r="805" spans="2:33" s="638" customFormat="1" ht="12" customHeight="1">
      <c r="B805" s="637"/>
      <c r="N805" s="638" t="s">
        <v>889</v>
      </c>
      <c r="O805" s="638" t="s">
        <v>351</v>
      </c>
      <c r="X805" s="382"/>
      <c r="Y805" s="382"/>
      <c r="Z805" s="382"/>
      <c r="AA805" s="382"/>
      <c r="AB805" s="382"/>
      <c r="AC805" s="382"/>
      <c r="AD805" s="382"/>
      <c r="AE805" s="382"/>
      <c r="AF805" s="382"/>
      <c r="AG805" s="382"/>
    </row>
    <row r="806" spans="2:33" s="638" customFormat="1" ht="12" customHeight="1">
      <c r="B806" s="637"/>
      <c r="N806" s="638" t="s">
        <v>890</v>
      </c>
      <c r="O806" s="638" t="s">
        <v>2142</v>
      </c>
      <c r="X806" s="382"/>
      <c r="Y806" s="382"/>
      <c r="Z806" s="382"/>
      <c r="AA806" s="382"/>
      <c r="AB806" s="382"/>
      <c r="AC806" s="382"/>
      <c r="AD806" s="382"/>
      <c r="AE806" s="382"/>
      <c r="AF806" s="382"/>
      <c r="AG806" s="382"/>
    </row>
    <row r="807" spans="2:33" s="638" customFormat="1" ht="12" customHeight="1">
      <c r="B807" s="637"/>
      <c r="N807" s="638" t="s">
        <v>3516</v>
      </c>
      <c r="O807" s="638" t="s">
        <v>117</v>
      </c>
      <c r="X807" s="382"/>
      <c r="Y807" s="382"/>
      <c r="Z807" s="382"/>
      <c r="AA807" s="382"/>
      <c r="AB807" s="382"/>
      <c r="AC807" s="382"/>
      <c r="AD807" s="382"/>
      <c r="AE807" s="382"/>
      <c r="AF807" s="382"/>
      <c r="AG807" s="382"/>
    </row>
    <row r="808" spans="2:33" s="638" customFormat="1" ht="12" customHeight="1">
      <c r="B808" s="637"/>
      <c r="N808" s="638" t="s">
        <v>891</v>
      </c>
      <c r="O808" s="638" t="s">
        <v>2046</v>
      </c>
      <c r="X808" s="382"/>
      <c r="Y808" s="382"/>
      <c r="Z808" s="382"/>
      <c r="AA808" s="382"/>
      <c r="AB808" s="382"/>
      <c r="AC808" s="382"/>
      <c r="AD808" s="382"/>
      <c r="AE808" s="382"/>
      <c r="AF808" s="382"/>
      <c r="AG808" s="382"/>
    </row>
    <row r="809" spans="2:33" s="638" customFormat="1" ht="12" customHeight="1">
      <c r="B809" s="637"/>
      <c r="N809" s="638" t="s">
        <v>892</v>
      </c>
      <c r="O809" s="638" t="s">
        <v>1162</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B388"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topLeftCell="A4" zoomScaleNormal="100" workbookViewId="0">
      <selection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0" t="str">
        <f>CONCATENATE("PART TWO - DEVELOPMENT TEAM INFORMATION","  -  ",'Part I-Project Information'!$O$4," ",'Part I-Project Information'!$F$23,", ",'Part I-Project Information'!F27,", ",'Part I-Project Information'!J28," County")</f>
        <v>PART TWO - DEVELOPMENT TEAM INFORMATION  -  2014-051 Macon Gardens, Macon, Bibb County</v>
      </c>
      <c r="B1" s="1231"/>
      <c r="C1" s="1231"/>
      <c r="D1" s="1231"/>
      <c r="E1" s="1231"/>
      <c r="F1" s="1231"/>
      <c r="G1" s="1231"/>
      <c r="H1" s="1231"/>
      <c r="I1" s="1231"/>
      <c r="J1" s="1231"/>
      <c r="K1" s="1231"/>
      <c r="L1" s="1231"/>
      <c r="M1" s="1231"/>
      <c r="N1" s="1231"/>
      <c r="O1" s="1231"/>
      <c r="P1" s="1231"/>
      <c r="Q1" s="1231"/>
      <c r="R1" s="1231"/>
      <c r="S1" s="1232"/>
    </row>
    <row r="3" spans="1:26" s="362" customFormat="1" ht="13.15" customHeight="1">
      <c r="A3" s="365" t="s">
        <v>658</v>
      </c>
      <c r="B3" s="369" t="s">
        <v>1988</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2119</v>
      </c>
      <c r="C5" s="369" t="s">
        <v>1984</v>
      </c>
      <c r="H5" s="1950" t="s">
        <v>3722</v>
      </c>
      <c r="I5" s="2010"/>
      <c r="J5" s="2010"/>
      <c r="K5" s="2010"/>
      <c r="L5" s="2010"/>
      <c r="M5" s="2010"/>
      <c r="N5" s="2011"/>
      <c r="O5" s="1134" t="s">
        <v>2126</v>
      </c>
      <c r="P5" s="1134"/>
      <c r="Q5" s="1950" t="s">
        <v>3723</v>
      </c>
      <c r="R5" s="2010"/>
      <c r="S5" s="2011"/>
    </row>
    <row r="6" spans="1:26" s="362" customFormat="1" ht="12.6" customHeight="1">
      <c r="D6" s="406"/>
      <c r="E6" s="368" t="s">
        <v>1084</v>
      </c>
      <c r="F6" s="376"/>
      <c r="H6" s="1950" t="s">
        <v>3712</v>
      </c>
      <c r="I6" s="2010"/>
      <c r="J6" s="2010"/>
      <c r="K6" s="2010"/>
      <c r="L6" s="2010"/>
      <c r="M6" s="2010"/>
      <c r="N6" s="2011"/>
      <c r="O6" s="1134" t="s">
        <v>1871</v>
      </c>
      <c r="Q6" s="1950" t="s">
        <v>3724</v>
      </c>
      <c r="R6" s="2010"/>
      <c r="S6" s="2011"/>
    </row>
    <row r="7" spans="1:26" s="362" customFormat="1" ht="12.6" customHeight="1">
      <c r="D7" s="406"/>
      <c r="E7" s="368" t="s">
        <v>660</v>
      </c>
      <c r="H7" s="1950" t="s">
        <v>1283</v>
      </c>
      <c r="I7" s="2010"/>
      <c r="J7" s="2011"/>
      <c r="K7" s="2038" t="s">
        <v>814</v>
      </c>
      <c r="L7" s="1950" t="s">
        <v>3786</v>
      </c>
      <c r="M7" s="2010"/>
      <c r="N7" s="2011"/>
      <c r="O7" s="1134" t="s">
        <v>1928</v>
      </c>
      <c r="Q7" s="1958">
        <v>6785145901</v>
      </c>
      <c r="R7" s="1963"/>
      <c r="S7" s="1959"/>
    </row>
    <row r="8" spans="1:26" s="362" customFormat="1" ht="12.6" customHeight="1">
      <c r="D8" s="406"/>
      <c r="E8" s="368" t="s">
        <v>1924</v>
      </c>
      <c r="H8" s="1964" t="s">
        <v>903</v>
      </c>
      <c r="I8" s="1139" t="s">
        <v>1367</v>
      </c>
      <c r="J8" s="1961">
        <v>303421365</v>
      </c>
      <c r="K8" s="2011"/>
      <c r="L8" s="330" t="s">
        <v>3004</v>
      </c>
      <c r="M8" s="2039">
        <v>101.13</v>
      </c>
      <c r="N8" s="2040"/>
      <c r="O8" s="1134" t="s">
        <v>2115</v>
      </c>
      <c r="Q8" s="1958">
        <v>7703293234</v>
      </c>
      <c r="R8" s="1963"/>
      <c r="S8" s="1959"/>
    </row>
    <row r="9" spans="1:26" s="362" customFormat="1" ht="12.6" customHeight="1">
      <c r="D9" s="406"/>
      <c r="E9" s="368" t="s">
        <v>2121</v>
      </c>
      <c r="H9" s="1958">
        <v>6785145900</v>
      </c>
      <c r="I9" s="1959"/>
      <c r="J9" s="2041"/>
      <c r="K9" s="1139" t="s">
        <v>1927</v>
      </c>
      <c r="L9" s="1996">
        <v>6785145919</v>
      </c>
      <c r="M9" s="2042"/>
      <c r="N9" s="370" t="s">
        <v>2120</v>
      </c>
      <c r="O9" s="1965" t="s">
        <v>3725</v>
      </c>
      <c r="P9" s="1966"/>
      <c r="Q9" s="1966"/>
      <c r="R9" s="1966"/>
      <c r="S9" s="1967"/>
    </row>
    <row r="10" spans="1:26" s="362" customFormat="1" ht="13.15" customHeight="1">
      <c r="D10" s="406"/>
      <c r="E10" s="355" t="s">
        <v>3003</v>
      </c>
      <c r="H10" s="400"/>
      <c r="K10" s="330"/>
      <c r="N10" s="441" t="s">
        <v>1368</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2122</v>
      </c>
      <c r="C12" s="369" t="s">
        <v>1985</v>
      </c>
      <c r="F12" s="369"/>
      <c r="G12" s="369"/>
      <c r="H12" s="369"/>
      <c r="I12" s="369"/>
      <c r="J12" s="369"/>
      <c r="N12" s="2043" t="s">
        <v>3121</v>
      </c>
      <c r="P12" s="2044" t="s">
        <v>1366</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2123</v>
      </c>
      <c r="D14" s="405" t="s">
        <v>2124</v>
      </c>
      <c r="H14" s="1142"/>
      <c r="I14" s="1142"/>
      <c r="J14" s="1142"/>
      <c r="N14" s="2043"/>
      <c r="W14" s="2045"/>
      <c r="X14" s="2045"/>
      <c r="Y14" s="2045"/>
      <c r="Z14" s="2045"/>
    </row>
    <row r="15" spans="1:26" s="362" customFormat="1" ht="4.1500000000000004" customHeight="1">
      <c r="D15" s="408"/>
      <c r="E15" s="409"/>
      <c r="H15" s="2046"/>
      <c r="I15" s="2046"/>
      <c r="J15" s="2046"/>
      <c r="K15" s="1135"/>
      <c r="L15" s="2046"/>
      <c r="M15" s="2046"/>
      <c r="N15" s="1135"/>
      <c r="O15" s="2047"/>
      <c r="P15" s="2047"/>
      <c r="Q15" s="1139"/>
      <c r="R15" s="2047"/>
      <c r="S15" s="2047"/>
    </row>
    <row r="16" spans="1:26" s="362" customFormat="1" ht="12.6" customHeight="1">
      <c r="D16" s="365" t="s">
        <v>2255</v>
      </c>
      <c r="E16" s="362" t="s">
        <v>1986</v>
      </c>
      <c r="H16" s="1950" t="s">
        <v>3726</v>
      </c>
      <c r="I16" s="2010"/>
      <c r="J16" s="2010"/>
      <c r="K16" s="2010"/>
      <c r="L16" s="2010"/>
      <c r="M16" s="2010"/>
      <c r="N16" s="2011"/>
      <c r="O16" s="1134" t="s">
        <v>2126</v>
      </c>
      <c r="P16" s="1134"/>
      <c r="Q16" s="1950" t="s">
        <v>3727</v>
      </c>
      <c r="R16" s="2010"/>
      <c r="S16" s="2011"/>
    </row>
    <row r="17" spans="4:19" s="362" customFormat="1" ht="12.6" customHeight="1">
      <c r="D17" s="406"/>
      <c r="E17" s="368" t="s">
        <v>1084</v>
      </c>
      <c r="F17" s="376"/>
      <c r="H17" s="1950" t="s">
        <v>3712</v>
      </c>
      <c r="I17" s="2010"/>
      <c r="J17" s="2010"/>
      <c r="K17" s="2010"/>
      <c r="L17" s="2010"/>
      <c r="M17" s="2010"/>
      <c r="N17" s="2011"/>
      <c r="O17" s="1134" t="s">
        <v>1871</v>
      </c>
      <c r="Q17" s="1950" t="s">
        <v>3724</v>
      </c>
      <c r="R17" s="2010"/>
      <c r="S17" s="2011"/>
    </row>
    <row r="18" spans="4:19" s="362" customFormat="1" ht="12.6" customHeight="1">
      <c r="D18" s="406"/>
      <c r="E18" s="368" t="s">
        <v>660</v>
      </c>
      <c r="H18" s="1950" t="s">
        <v>1283</v>
      </c>
      <c r="I18" s="2010"/>
      <c r="J18" s="2011"/>
      <c r="K18" s="1131" t="s">
        <v>2945</v>
      </c>
      <c r="L18" s="1950" t="s">
        <v>3729</v>
      </c>
      <c r="M18" s="2010"/>
      <c r="N18" s="2011"/>
      <c r="O18" s="1134" t="s">
        <v>1928</v>
      </c>
      <c r="Q18" s="1958">
        <v>6785145901</v>
      </c>
      <c r="R18" s="1963"/>
      <c r="S18" s="1959"/>
    </row>
    <row r="19" spans="4:19" s="362" customFormat="1" ht="12.6" customHeight="1">
      <c r="D19" s="365"/>
      <c r="E19" s="368" t="s">
        <v>1924</v>
      </c>
      <c r="H19" s="1964" t="s">
        <v>903</v>
      </c>
      <c r="I19" s="1139" t="s">
        <v>1367</v>
      </c>
      <c r="J19" s="1961">
        <v>303421365</v>
      </c>
      <c r="K19" s="2011"/>
      <c r="O19" s="1134" t="s">
        <v>2115</v>
      </c>
      <c r="Q19" s="1958">
        <v>7703293234</v>
      </c>
      <c r="R19" s="1963"/>
      <c r="S19" s="1959"/>
    </row>
    <row r="20" spans="4:19" s="362" customFormat="1" ht="12.6" customHeight="1">
      <c r="D20" s="406"/>
      <c r="E20" s="368" t="s">
        <v>2121</v>
      </c>
      <c r="H20" s="1958">
        <v>6785145900</v>
      </c>
      <c r="I20" s="1959"/>
      <c r="J20" s="2041"/>
      <c r="K20" s="1139" t="s">
        <v>1927</v>
      </c>
      <c r="L20" s="1996">
        <v>6785145919</v>
      </c>
      <c r="M20" s="2042"/>
      <c r="N20" s="370" t="s">
        <v>2120</v>
      </c>
      <c r="O20" s="1965" t="s">
        <v>3725</v>
      </c>
      <c r="P20" s="1966"/>
      <c r="Q20" s="1966"/>
      <c r="R20" s="1966"/>
      <c r="S20" s="1967"/>
    </row>
    <row r="21" spans="4:19" ht="4.1500000000000004" customHeight="1">
      <c r="D21" s="391"/>
      <c r="H21" s="2048"/>
      <c r="I21" s="2048"/>
      <c r="J21" s="2048"/>
      <c r="K21" s="1139"/>
      <c r="L21" s="2048"/>
      <c r="M21" s="2048"/>
      <c r="N21" s="1135"/>
      <c r="O21" s="2047"/>
      <c r="P21" s="2047"/>
      <c r="Q21" s="1139"/>
      <c r="R21" s="2047"/>
      <c r="S21" s="2047"/>
    </row>
    <row r="22" spans="4:19" s="362" customFormat="1" ht="12.6" customHeight="1">
      <c r="D22" s="365" t="s">
        <v>2256</v>
      </c>
      <c r="E22" s="362" t="s">
        <v>1987</v>
      </c>
      <c r="F22" s="1142"/>
      <c r="H22" s="1950"/>
      <c r="I22" s="2010"/>
      <c r="J22" s="2010"/>
      <c r="K22" s="2010"/>
      <c r="L22" s="2010"/>
      <c r="M22" s="2010"/>
      <c r="N22" s="2011"/>
      <c r="O22" s="1134" t="s">
        <v>2126</v>
      </c>
      <c r="P22" s="1134"/>
      <c r="Q22" s="1950"/>
      <c r="R22" s="2010"/>
      <c r="S22" s="2011"/>
    </row>
    <row r="23" spans="4:19" s="362" customFormat="1" ht="12.6" customHeight="1">
      <c r="D23" s="406"/>
      <c r="E23" s="368" t="s">
        <v>1084</v>
      </c>
      <c r="F23" s="376"/>
      <c r="H23" s="1950"/>
      <c r="I23" s="2010"/>
      <c r="J23" s="2010"/>
      <c r="K23" s="2010"/>
      <c r="L23" s="2010"/>
      <c r="M23" s="2010"/>
      <c r="N23" s="2011"/>
      <c r="O23" s="1134" t="s">
        <v>1871</v>
      </c>
      <c r="Q23" s="1950"/>
      <c r="R23" s="2010"/>
      <c r="S23" s="2011"/>
    </row>
    <row r="24" spans="4:19" s="362" customFormat="1" ht="12.6" customHeight="1">
      <c r="D24" s="406"/>
      <c r="E24" s="368" t="s">
        <v>660</v>
      </c>
      <c r="H24" s="1950"/>
      <c r="I24" s="2010"/>
      <c r="J24" s="2011"/>
      <c r="K24" s="1131" t="s">
        <v>2945</v>
      </c>
      <c r="L24" s="1950"/>
      <c r="M24" s="2010"/>
      <c r="N24" s="2011"/>
      <c r="O24" s="1134" t="s">
        <v>1928</v>
      </c>
      <c r="Q24" s="1958"/>
      <c r="R24" s="1963"/>
      <c r="S24" s="1959"/>
    </row>
    <row r="25" spans="4:19" s="362" customFormat="1" ht="12.6" customHeight="1">
      <c r="E25" s="368" t="s">
        <v>1924</v>
      </c>
      <c r="H25" s="1964"/>
      <c r="I25" s="393" t="s">
        <v>2376</v>
      </c>
      <c r="J25" s="1961"/>
      <c r="K25" s="2011"/>
      <c r="O25" s="1134" t="s">
        <v>2115</v>
      </c>
      <c r="Q25" s="1958"/>
      <c r="R25" s="1963"/>
      <c r="S25" s="1959"/>
    </row>
    <row r="26" spans="4:19" s="362" customFormat="1" ht="12.6" customHeight="1">
      <c r="D26" s="406"/>
      <c r="E26" s="368" t="s">
        <v>2121</v>
      </c>
      <c r="H26" s="1958"/>
      <c r="I26" s="1959"/>
      <c r="J26" s="2041"/>
      <c r="K26" s="1139" t="s">
        <v>1927</v>
      </c>
      <c r="L26" s="1996"/>
      <c r="M26" s="2011"/>
      <c r="N26" s="370" t="s">
        <v>2120</v>
      </c>
      <c r="O26" s="1965"/>
      <c r="P26" s="1966"/>
      <c r="Q26" s="1966"/>
      <c r="R26" s="1966"/>
      <c r="S26" s="1967"/>
    </row>
    <row r="27" spans="4:19" s="362" customFormat="1" ht="4.1500000000000004" customHeight="1">
      <c r="D27" s="406"/>
      <c r="E27" s="1142"/>
      <c r="F27" s="1142"/>
      <c r="G27" s="1134"/>
      <c r="H27" s="2048"/>
      <c r="I27" s="2048"/>
      <c r="J27" s="2048"/>
      <c r="K27" s="1139"/>
      <c r="L27" s="2048"/>
      <c r="M27" s="2048"/>
      <c r="N27" s="1135"/>
      <c r="O27" s="2047"/>
      <c r="P27" s="2047"/>
      <c r="Q27" s="1139"/>
      <c r="R27" s="2047"/>
      <c r="S27" s="2047"/>
    </row>
    <row r="28" spans="4:19" s="362" customFormat="1" ht="12.6" customHeight="1">
      <c r="D28" s="365" t="s">
        <v>1857</v>
      </c>
      <c r="E28" s="362" t="s">
        <v>1987</v>
      </c>
      <c r="F28" s="1142"/>
      <c r="H28" s="1950"/>
      <c r="I28" s="2010"/>
      <c r="J28" s="2010"/>
      <c r="K28" s="2010"/>
      <c r="L28" s="2010"/>
      <c r="M28" s="2010"/>
      <c r="N28" s="2011"/>
      <c r="O28" s="1134" t="s">
        <v>2126</v>
      </c>
      <c r="P28" s="1134"/>
      <c r="Q28" s="1950"/>
      <c r="R28" s="2010"/>
      <c r="S28" s="2011"/>
    </row>
    <row r="29" spans="4:19" s="362" customFormat="1" ht="12.6" customHeight="1">
      <c r="D29" s="406"/>
      <c r="E29" s="368" t="s">
        <v>1084</v>
      </c>
      <c r="F29" s="376"/>
      <c r="H29" s="1950"/>
      <c r="I29" s="2010"/>
      <c r="J29" s="2010"/>
      <c r="K29" s="2010"/>
      <c r="L29" s="2010"/>
      <c r="M29" s="2010"/>
      <c r="N29" s="2011"/>
      <c r="O29" s="1134" t="s">
        <v>1871</v>
      </c>
      <c r="Q29" s="1950"/>
      <c r="R29" s="2010"/>
      <c r="S29" s="2011"/>
    </row>
    <row r="30" spans="4:19" s="362" customFormat="1" ht="12.6" customHeight="1">
      <c r="D30" s="406"/>
      <c r="E30" s="368" t="s">
        <v>660</v>
      </c>
      <c r="H30" s="1950"/>
      <c r="I30" s="2010"/>
      <c r="J30" s="2011"/>
      <c r="K30" s="1131" t="s">
        <v>2945</v>
      </c>
      <c r="L30" s="1950"/>
      <c r="M30" s="2010"/>
      <c r="N30" s="2011"/>
      <c r="O30" s="1134" t="s">
        <v>1928</v>
      </c>
      <c r="Q30" s="1958"/>
      <c r="R30" s="1963"/>
      <c r="S30" s="1959"/>
    </row>
    <row r="31" spans="4:19" s="362" customFormat="1" ht="12.6" customHeight="1">
      <c r="E31" s="368" t="s">
        <v>1924</v>
      </c>
      <c r="H31" s="1964"/>
      <c r="I31" s="393" t="s">
        <v>2376</v>
      </c>
      <c r="J31" s="1961"/>
      <c r="K31" s="2011"/>
      <c r="O31" s="1134" t="s">
        <v>2115</v>
      </c>
      <c r="Q31" s="1958"/>
      <c r="R31" s="1963"/>
      <c r="S31" s="1959"/>
    </row>
    <row r="32" spans="4:19" s="362" customFormat="1" ht="12.6" customHeight="1">
      <c r="D32" s="406"/>
      <c r="E32" s="368" t="s">
        <v>2121</v>
      </c>
      <c r="H32" s="1958"/>
      <c r="I32" s="1959"/>
      <c r="J32" s="2041"/>
      <c r="K32" s="1139" t="s">
        <v>1927</v>
      </c>
      <c r="L32" s="1996"/>
      <c r="M32" s="2011"/>
      <c r="N32" s="370" t="s">
        <v>2120</v>
      </c>
      <c r="O32" s="1965"/>
      <c r="P32" s="1966"/>
      <c r="Q32" s="1966"/>
      <c r="R32" s="1966"/>
      <c r="S32" s="1967"/>
    </row>
    <row r="33" spans="3:19" ht="4.1500000000000004" customHeight="1"/>
    <row r="34" spans="3:19" s="362" customFormat="1" ht="13.15" customHeight="1">
      <c r="C34" s="408" t="s">
        <v>2125</v>
      </c>
      <c r="D34" s="405" t="s">
        <v>1989</v>
      </c>
      <c r="H34" s="1142"/>
      <c r="I34" s="1142"/>
      <c r="J34" s="1142"/>
      <c r="K34" s="1142"/>
      <c r="L34" s="1142"/>
      <c r="M34" s="1142"/>
    </row>
    <row r="35" spans="3:19" s="362" customFormat="1" ht="4.1500000000000004" customHeight="1">
      <c r="C35" s="410"/>
      <c r="D35" s="405"/>
      <c r="H35" s="2046"/>
      <c r="I35" s="2046"/>
      <c r="J35" s="2046"/>
      <c r="K35" s="1135"/>
      <c r="L35" s="2046"/>
      <c r="M35" s="2046"/>
      <c r="N35" s="1135"/>
      <c r="O35" s="2047"/>
      <c r="P35" s="2047"/>
      <c r="Q35" s="1139"/>
      <c r="R35" s="2047"/>
      <c r="S35" s="2047"/>
    </row>
    <row r="36" spans="3:19" s="362" customFormat="1" ht="12.6" customHeight="1">
      <c r="D36" s="365" t="s">
        <v>2255</v>
      </c>
      <c r="E36" s="362" t="s">
        <v>801</v>
      </c>
      <c r="H36" s="1950"/>
      <c r="I36" s="2010"/>
      <c r="J36" s="2010"/>
      <c r="K36" s="2010"/>
      <c r="L36" s="2010"/>
      <c r="M36" s="2010"/>
      <c r="N36" s="2011"/>
      <c r="O36" s="1134" t="s">
        <v>2126</v>
      </c>
      <c r="P36" s="1134"/>
      <c r="Q36" s="1950"/>
      <c r="R36" s="2010"/>
      <c r="S36" s="2011"/>
    </row>
    <row r="37" spans="3:19" s="362" customFormat="1" ht="12.6" customHeight="1">
      <c r="D37" s="406"/>
      <c r="E37" s="368" t="s">
        <v>1084</v>
      </c>
      <c r="F37" s="376"/>
      <c r="H37" s="1950"/>
      <c r="I37" s="2010"/>
      <c r="J37" s="2010"/>
      <c r="K37" s="2010"/>
      <c r="L37" s="2010"/>
      <c r="M37" s="2010"/>
      <c r="N37" s="2011"/>
      <c r="O37" s="1134" t="s">
        <v>1871</v>
      </c>
      <c r="Q37" s="1950"/>
      <c r="R37" s="2010"/>
      <c r="S37" s="2011"/>
    </row>
    <row r="38" spans="3:19" s="362" customFormat="1" ht="12.6" customHeight="1">
      <c r="D38" s="406"/>
      <c r="E38" s="368" t="s">
        <v>660</v>
      </c>
      <c r="H38" s="1950"/>
      <c r="I38" s="2010"/>
      <c r="J38" s="2011"/>
      <c r="K38" s="1131" t="s">
        <v>2945</v>
      </c>
      <c r="L38" s="1950"/>
      <c r="M38" s="2010"/>
      <c r="N38" s="2011"/>
      <c r="O38" s="1134" t="s">
        <v>1928</v>
      </c>
      <c r="Q38" s="1958"/>
      <c r="R38" s="1963"/>
      <c r="S38" s="1959"/>
    </row>
    <row r="39" spans="3:19" s="362" customFormat="1" ht="12.6" customHeight="1">
      <c r="E39" s="368" t="s">
        <v>1924</v>
      </c>
      <c r="H39" s="1964"/>
      <c r="I39" s="393" t="s">
        <v>2376</v>
      </c>
      <c r="J39" s="1961"/>
      <c r="K39" s="2011"/>
      <c r="O39" s="1134" t="s">
        <v>2115</v>
      </c>
      <c r="Q39" s="1958"/>
      <c r="R39" s="1963"/>
      <c r="S39" s="1959"/>
    </row>
    <row r="40" spans="3:19" s="362" customFormat="1" ht="12.6" customHeight="1">
      <c r="D40" s="406"/>
      <c r="E40" s="368" t="s">
        <v>2121</v>
      </c>
      <c r="H40" s="1958"/>
      <c r="I40" s="1959"/>
      <c r="J40" s="2041"/>
      <c r="K40" s="1139" t="s">
        <v>1927</v>
      </c>
      <c r="L40" s="1996"/>
      <c r="M40" s="2011"/>
      <c r="N40" s="370" t="s">
        <v>2120</v>
      </c>
      <c r="O40" s="1965"/>
      <c r="P40" s="1966"/>
      <c r="Q40" s="1966"/>
      <c r="R40" s="1966"/>
      <c r="S40" s="1967"/>
    </row>
    <row r="41" spans="3:19" ht="4.1500000000000004" customHeight="1">
      <c r="H41" s="2048"/>
      <c r="I41" s="2048"/>
      <c r="J41" s="2048"/>
      <c r="K41" s="1139"/>
      <c r="L41" s="2048"/>
      <c r="M41" s="2048"/>
      <c r="N41" s="1135"/>
      <c r="O41" s="2047"/>
      <c r="P41" s="2047"/>
      <c r="Q41" s="1139"/>
      <c r="R41" s="2047"/>
      <c r="S41" s="2047"/>
    </row>
    <row r="42" spans="3:19" s="362" customFormat="1" ht="12.6" customHeight="1">
      <c r="D42" s="365" t="s">
        <v>2256</v>
      </c>
      <c r="E42" s="362" t="s">
        <v>802</v>
      </c>
      <c r="F42" s="365"/>
      <c r="H42" s="1950"/>
      <c r="I42" s="2010"/>
      <c r="J42" s="2010"/>
      <c r="K42" s="2010"/>
      <c r="L42" s="2010"/>
      <c r="M42" s="2010"/>
      <c r="N42" s="2011"/>
      <c r="O42" s="1134" t="s">
        <v>2126</v>
      </c>
      <c r="P42" s="1134"/>
      <c r="Q42" s="1950"/>
      <c r="R42" s="2010"/>
      <c r="S42" s="2011"/>
    </row>
    <row r="43" spans="3:19" s="362" customFormat="1" ht="12.6" customHeight="1">
      <c r="D43" s="406"/>
      <c r="E43" s="368" t="s">
        <v>1084</v>
      </c>
      <c r="F43" s="376"/>
      <c r="H43" s="1950"/>
      <c r="I43" s="2010"/>
      <c r="J43" s="2010"/>
      <c r="K43" s="2010"/>
      <c r="L43" s="2010"/>
      <c r="M43" s="2010"/>
      <c r="N43" s="2011"/>
      <c r="O43" s="1134" t="s">
        <v>1871</v>
      </c>
      <c r="Q43" s="1950"/>
      <c r="R43" s="2010"/>
      <c r="S43" s="2011"/>
    </row>
    <row r="44" spans="3:19" s="362" customFormat="1" ht="12.6" customHeight="1">
      <c r="D44" s="406"/>
      <c r="E44" s="368" t="s">
        <v>660</v>
      </c>
      <c r="H44" s="1950"/>
      <c r="I44" s="2010"/>
      <c r="J44" s="2011"/>
      <c r="K44" s="1131" t="s">
        <v>2945</v>
      </c>
      <c r="L44" s="1950"/>
      <c r="M44" s="2010"/>
      <c r="N44" s="2011"/>
      <c r="O44" s="1134" t="s">
        <v>1928</v>
      </c>
      <c r="Q44" s="1958"/>
      <c r="R44" s="1963"/>
      <c r="S44" s="1959"/>
    </row>
    <row r="45" spans="3:19" s="362" customFormat="1" ht="12.6" customHeight="1">
      <c r="D45" s="365"/>
      <c r="E45" s="368" t="s">
        <v>1924</v>
      </c>
      <c r="H45" s="1964"/>
      <c r="I45" s="393" t="s">
        <v>2376</v>
      </c>
      <c r="J45" s="1961"/>
      <c r="K45" s="2011"/>
      <c r="O45" s="1134" t="s">
        <v>2115</v>
      </c>
      <c r="Q45" s="1958"/>
      <c r="R45" s="1963"/>
      <c r="S45" s="1959"/>
    </row>
    <row r="46" spans="3:19" s="362" customFormat="1" ht="12.6" customHeight="1">
      <c r="D46" s="406"/>
      <c r="E46" s="368" t="s">
        <v>2121</v>
      </c>
      <c r="H46" s="1958"/>
      <c r="I46" s="1959"/>
      <c r="J46" s="2041"/>
      <c r="K46" s="1139" t="s">
        <v>1927</v>
      </c>
      <c r="L46" s="1996"/>
      <c r="M46" s="2011"/>
      <c r="N46" s="370" t="s">
        <v>2120</v>
      </c>
      <c r="O46" s="1965"/>
      <c r="P46" s="1966"/>
      <c r="Q46" s="1966"/>
      <c r="R46" s="1966"/>
      <c r="S46" s="1967"/>
    </row>
    <row r="47" spans="3:19" s="362" customFormat="1" ht="4.1500000000000004" customHeight="1">
      <c r="D47" s="406"/>
      <c r="E47" s="368"/>
      <c r="F47" s="365"/>
      <c r="H47" s="400"/>
      <c r="I47" s="400"/>
      <c r="J47" s="2049"/>
      <c r="K47" s="1139"/>
      <c r="L47" s="400"/>
      <c r="M47" s="400"/>
      <c r="N47" s="1139"/>
      <c r="O47" s="400"/>
      <c r="P47" s="400"/>
      <c r="Q47" s="1139"/>
      <c r="R47" s="400"/>
      <c r="S47" s="400"/>
    </row>
    <row r="48" spans="3:19" s="362" customFormat="1" ht="13.15" customHeight="1">
      <c r="C48" s="410" t="s">
        <v>2708</v>
      </c>
      <c r="D48" s="405" t="s">
        <v>697</v>
      </c>
      <c r="H48" s="1142"/>
      <c r="I48" s="1142"/>
      <c r="J48" s="1142"/>
      <c r="K48" s="1142"/>
      <c r="L48" s="1142"/>
      <c r="M48" s="1142"/>
    </row>
    <row r="49" spans="1:19" s="362" customFormat="1" ht="4.1500000000000004" customHeight="1">
      <c r="D49" s="410"/>
      <c r="E49" s="409"/>
      <c r="H49" s="2046"/>
      <c r="I49" s="2046"/>
      <c r="J49" s="2046"/>
      <c r="K49" s="1135"/>
      <c r="L49" s="2046"/>
      <c r="M49" s="2046"/>
      <c r="N49" s="1135"/>
      <c r="O49" s="2047"/>
      <c r="P49" s="2047"/>
      <c r="Q49" s="1139"/>
      <c r="R49" s="2047"/>
      <c r="S49" s="2047"/>
    </row>
    <row r="50" spans="1:19" s="362" customFormat="1" ht="12.6" customHeight="1">
      <c r="E50" s="362" t="s">
        <v>95</v>
      </c>
      <c r="H50" s="1950"/>
      <c r="I50" s="2010"/>
      <c r="J50" s="2010"/>
      <c r="K50" s="2010"/>
      <c r="L50" s="2010"/>
      <c r="M50" s="2010"/>
      <c r="N50" s="2011"/>
      <c r="O50" s="1134" t="s">
        <v>2126</v>
      </c>
      <c r="P50" s="1134"/>
      <c r="Q50" s="1950"/>
      <c r="R50" s="2010"/>
      <c r="S50" s="2011"/>
    </row>
    <row r="51" spans="1:19" s="362" customFormat="1" ht="12.6" customHeight="1">
      <c r="D51" s="406"/>
      <c r="E51" s="368" t="s">
        <v>1084</v>
      </c>
      <c r="F51" s="376"/>
      <c r="H51" s="1950"/>
      <c r="I51" s="2010"/>
      <c r="J51" s="2010"/>
      <c r="K51" s="2010"/>
      <c r="L51" s="2010"/>
      <c r="M51" s="2010"/>
      <c r="N51" s="2011"/>
      <c r="O51" s="1134" t="s">
        <v>1871</v>
      </c>
      <c r="Q51" s="1950"/>
      <c r="R51" s="2010"/>
      <c r="S51" s="2011"/>
    </row>
    <row r="52" spans="1:19" s="362" customFormat="1" ht="12.6" customHeight="1">
      <c r="D52" s="406"/>
      <c r="E52" s="368" t="s">
        <v>660</v>
      </c>
      <c r="H52" s="1950"/>
      <c r="I52" s="2010"/>
      <c r="J52" s="2011"/>
      <c r="K52" s="1131" t="s">
        <v>2945</v>
      </c>
      <c r="L52" s="1950"/>
      <c r="M52" s="2010"/>
      <c r="N52" s="2011"/>
      <c r="O52" s="1134" t="s">
        <v>1928</v>
      </c>
      <c r="Q52" s="1958"/>
      <c r="R52" s="1963"/>
      <c r="S52" s="1959"/>
    </row>
    <row r="53" spans="1:19" s="362" customFormat="1" ht="12.6" customHeight="1">
      <c r="E53" s="368" t="s">
        <v>1924</v>
      </c>
      <c r="H53" s="1964"/>
      <c r="I53" s="393" t="s">
        <v>2376</v>
      </c>
      <c r="J53" s="1961"/>
      <c r="K53" s="2011"/>
      <c r="O53" s="1134" t="s">
        <v>2115</v>
      </c>
      <c r="Q53" s="1958"/>
      <c r="R53" s="1963"/>
      <c r="S53" s="1959"/>
    </row>
    <row r="54" spans="1:19" s="362" customFormat="1" ht="12.6" customHeight="1">
      <c r="D54" s="406"/>
      <c r="E54" s="368" t="s">
        <v>2121</v>
      </c>
      <c r="H54" s="1958"/>
      <c r="I54" s="1959"/>
      <c r="J54" s="2041"/>
      <c r="K54" s="1139" t="s">
        <v>1927</v>
      </c>
      <c r="L54" s="1996"/>
      <c r="M54" s="2011"/>
      <c r="N54" s="370" t="s">
        <v>2120</v>
      </c>
      <c r="O54" s="1965"/>
      <c r="P54" s="1966"/>
      <c r="Q54" s="1966"/>
      <c r="R54" s="1966"/>
      <c r="S54" s="1967"/>
    </row>
    <row r="55" spans="1:19" ht="6.75" customHeight="1"/>
    <row r="56" spans="1:19" s="362" customFormat="1" ht="13.15" customHeight="1">
      <c r="A56" s="365" t="s">
        <v>791</v>
      </c>
      <c r="B56" s="365" t="s">
        <v>698</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6"/>
      <c r="I57" s="2046"/>
      <c r="J57" s="2046"/>
      <c r="K57" s="1135"/>
      <c r="L57" s="2046"/>
      <c r="M57" s="2046"/>
      <c r="N57" s="1135"/>
      <c r="O57" s="2047"/>
      <c r="P57" s="2047"/>
      <c r="Q57" s="1139"/>
      <c r="R57" s="2047"/>
      <c r="S57" s="2047"/>
    </row>
    <row r="58" spans="1:19" s="362" customFormat="1" ht="13.15" customHeight="1">
      <c r="B58" s="365" t="s">
        <v>2119</v>
      </c>
      <c r="C58" s="365" t="s">
        <v>299</v>
      </c>
      <c r="H58" s="1950" t="s">
        <v>3728</v>
      </c>
      <c r="I58" s="2010"/>
      <c r="J58" s="2010"/>
      <c r="K58" s="2010"/>
      <c r="L58" s="2010"/>
      <c r="M58" s="2010"/>
      <c r="N58" s="2011"/>
      <c r="O58" s="1134" t="s">
        <v>2126</v>
      </c>
      <c r="P58" s="1134"/>
      <c r="Q58" s="1950" t="s">
        <v>3727</v>
      </c>
      <c r="R58" s="2010"/>
      <c r="S58" s="2011"/>
    </row>
    <row r="59" spans="1:19" s="362" customFormat="1" ht="13.15" customHeight="1">
      <c r="D59" s="406"/>
      <c r="E59" s="368" t="s">
        <v>1084</v>
      </c>
      <c r="F59" s="376"/>
      <c r="H59" s="1950" t="s">
        <v>3712</v>
      </c>
      <c r="I59" s="2010"/>
      <c r="J59" s="2010"/>
      <c r="K59" s="2010"/>
      <c r="L59" s="2010"/>
      <c r="M59" s="2010"/>
      <c r="N59" s="2011"/>
      <c r="O59" s="1134" t="s">
        <v>1871</v>
      </c>
      <c r="Q59" s="1950" t="s">
        <v>3732</v>
      </c>
      <c r="R59" s="2010"/>
      <c r="S59" s="2011"/>
    </row>
    <row r="60" spans="1:19" s="362" customFormat="1" ht="13.15" customHeight="1">
      <c r="D60" s="406"/>
      <c r="E60" s="368" t="s">
        <v>660</v>
      </c>
      <c r="H60" s="1950" t="s">
        <v>1283</v>
      </c>
      <c r="I60" s="2010"/>
      <c r="J60" s="2011"/>
      <c r="K60" s="1131" t="s">
        <v>2945</v>
      </c>
      <c r="L60" s="1950" t="s">
        <v>3729</v>
      </c>
      <c r="M60" s="2010"/>
      <c r="N60" s="2011"/>
      <c r="O60" s="1134" t="s">
        <v>1928</v>
      </c>
      <c r="Q60" s="1958">
        <v>6785145901</v>
      </c>
      <c r="R60" s="1963"/>
      <c r="S60" s="1959"/>
    </row>
    <row r="61" spans="1:19" s="362" customFormat="1" ht="13.15" customHeight="1">
      <c r="E61" s="368" t="s">
        <v>1924</v>
      </c>
      <c r="H61" s="1964" t="s">
        <v>903</v>
      </c>
      <c r="I61" s="393" t="s">
        <v>2376</v>
      </c>
      <c r="J61" s="1961">
        <v>303421372</v>
      </c>
      <c r="K61" s="2011"/>
      <c r="O61" s="1134" t="s">
        <v>2115</v>
      </c>
      <c r="Q61" s="1958">
        <v>7703293234</v>
      </c>
      <c r="R61" s="1963"/>
      <c r="S61" s="1959"/>
    </row>
    <row r="62" spans="1:19" s="362" customFormat="1" ht="13.15" customHeight="1">
      <c r="D62" s="406"/>
      <c r="E62" s="368" t="s">
        <v>2121</v>
      </c>
      <c r="H62" s="1958">
        <v>6785145900</v>
      </c>
      <c r="I62" s="1959"/>
      <c r="J62" s="2041"/>
      <c r="K62" s="1139" t="s">
        <v>1927</v>
      </c>
      <c r="L62" s="1996">
        <v>6785145919</v>
      </c>
      <c r="M62" s="2011"/>
      <c r="N62" s="370" t="s">
        <v>2120</v>
      </c>
      <c r="O62" s="1965" t="s">
        <v>3725</v>
      </c>
      <c r="P62" s="1966"/>
      <c r="Q62" s="1966"/>
      <c r="R62" s="1966"/>
      <c r="S62" s="1967"/>
    </row>
    <row r="63" spans="1:19" s="362" customFormat="1" ht="6.6" customHeight="1">
      <c r="D63" s="406"/>
      <c r="E63" s="1142"/>
      <c r="F63" s="1142"/>
      <c r="G63" s="1134"/>
      <c r="H63" s="2048"/>
      <c r="I63" s="2048"/>
      <c r="J63" s="2048"/>
      <c r="K63" s="1139"/>
      <c r="L63" s="2048"/>
      <c r="M63" s="2048"/>
      <c r="N63" s="1135"/>
      <c r="O63" s="2047"/>
      <c r="P63" s="2047"/>
      <c r="Q63" s="1139"/>
      <c r="R63" s="2047"/>
      <c r="S63" s="2047"/>
    </row>
    <row r="64" spans="1:19" s="362" customFormat="1" ht="13.15" customHeight="1">
      <c r="B64" s="365" t="s">
        <v>2122</v>
      </c>
      <c r="C64" s="365" t="s">
        <v>300</v>
      </c>
      <c r="H64" s="1950"/>
      <c r="I64" s="2010"/>
      <c r="J64" s="2010"/>
      <c r="K64" s="2010"/>
      <c r="L64" s="2010"/>
      <c r="M64" s="2010"/>
      <c r="N64" s="2011"/>
      <c r="O64" s="1134" t="s">
        <v>2126</v>
      </c>
      <c r="P64" s="1134"/>
      <c r="Q64" s="1950"/>
      <c r="R64" s="2010"/>
      <c r="S64" s="2011"/>
    </row>
    <row r="65" spans="2:19" s="362" customFormat="1" ht="13.15" customHeight="1">
      <c r="D65" s="406"/>
      <c r="E65" s="368" t="s">
        <v>1084</v>
      </c>
      <c r="F65" s="376"/>
      <c r="H65" s="1950"/>
      <c r="I65" s="2010"/>
      <c r="J65" s="2010"/>
      <c r="K65" s="2010"/>
      <c r="L65" s="2010"/>
      <c r="M65" s="2010"/>
      <c r="N65" s="2011"/>
      <c r="O65" s="1134" t="s">
        <v>1871</v>
      </c>
      <c r="Q65" s="1950"/>
      <c r="R65" s="2010"/>
      <c r="S65" s="2011"/>
    </row>
    <row r="66" spans="2:19" s="362" customFormat="1" ht="13.15" customHeight="1">
      <c r="D66" s="406"/>
      <c r="E66" s="368" t="s">
        <v>660</v>
      </c>
      <c r="H66" s="1950"/>
      <c r="I66" s="2010"/>
      <c r="J66" s="2011"/>
      <c r="K66" s="1131" t="s">
        <v>2945</v>
      </c>
      <c r="L66" s="1950"/>
      <c r="M66" s="2010"/>
      <c r="N66" s="2011"/>
      <c r="O66" s="1134" t="s">
        <v>1928</v>
      </c>
      <c r="Q66" s="1958"/>
      <c r="R66" s="1963"/>
      <c r="S66" s="1959"/>
    </row>
    <row r="67" spans="2:19" s="362" customFormat="1" ht="13.15" customHeight="1">
      <c r="E67" s="368" t="s">
        <v>1924</v>
      </c>
      <c r="H67" s="1964"/>
      <c r="I67" s="393" t="s">
        <v>2376</v>
      </c>
      <c r="J67" s="1961"/>
      <c r="K67" s="2011"/>
      <c r="O67" s="1134" t="s">
        <v>2115</v>
      </c>
      <c r="Q67" s="1958"/>
      <c r="R67" s="1963"/>
      <c r="S67" s="1959"/>
    </row>
    <row r="68" spans="2:19" s="362" customFormat="1" ht="13.15" customHeight="1">
      <c r="D68" s="406"/>
      <c r="E68" s="368" t="s">
        <v>2121</v>
      </c>
      <c r="H68" s="1958"/>
      <c r="I68" s="1959"/>
      <c r="J68" s="2041"/>
      <c r="K68" s="1139" t="s">
        <v>1927</v>
      </c>
      <c r="L68" s="1996"/>
      <c r="M68" s="2011"/>
      <c r="N68" s="370" t="s">
        <v>2120</v>
      </c>
      <c r="O68" s="1965"/>
      <c r="P68" s="1966"/>
      <c r="Q68" s="1966"/>
      <c r="R68" s="1966"/>
      <c r="S68" s="1967"/>
    </row>
    <row r="69" spans="2:19" s="362" customFormat="1" ht="6.6" customHeight="1">
      <c r="D69" s="406"/>
      <c r="E69" s="1142"/>
      <c r="F69" s="1142"/>
      <c r="G69" s="1134"/>
      <c r="H69" s="2048"/>
      <c r="I69" s="2048"/>
      <c r="J69" s="2048"/>
      <c r="K69" s="1139"/>
      <c r="L69" s="2048"/>
      <c r="M69" s="2048"/>
      <c r="N69" s="1135"/>
      <c r="O69" s="2047"/>
      <c r="P69" s="2047"/>
      <c r="Q69" s="1139"/>
      <c r="R69" s="2047"/>
      <c r="S69" s="2047"/>
    </row>
    <row r="70" spans="2:19" s="362" customFormat="1" ht="13.15" customHeight="1">
      <c r="B70" s="365" t="s">
        <v>800</v>
      </c>
      <c r="C70" s="365" t="s">
        <v>1635</v>
      </c>
      <c r="H70" s="1950"/>
      <c r="I70" s="2010"/>
      <c r="J70" s="2010"/>
      <c r="K70" s="2010"/>
      <c r="L70" s="2010"/>
      <c r="M70" s="2010"/>
      <c r="N70" s="2011"/>
      <c r="O70" s="1134" t="s">
        <v>2126</v>
      </c>
      <c r="P70" s="1134"/>
      <c r="Q70" s="1950"/>
      <c r="R70" s="2010"/>
      <c r="S70" s="2011"/>
    </row>
    <row r="71" spans="2:19" s="362" customFormat="1" ht="13.15" customHeight="1">
      <c r="D71" s="406"/>
      <c r="E71" s="368" t="s">
        <v>1084</v>
      </c>
      <c r="F71" s="376"/>
      <c r="H71" s="1950"/>
      <c r="I71" s="2010"/>
      <c r="J71" s="2010"/>
      <c r="K71" s="2010"/>
      <c r="L71" s="2010"/>
      <c r="M71" s="2010"/>
      <c r="N71" s="2011"/>
      <c r="O71" s="1134" t="s">
        <v>1871</v>
      </c>
      <c r="Q71" s="1950"/>
      <c r="R71" s="2010"/>
      <c r="S71" s="2011"/>
    </row>
    <row r="72" spans="2:19" s="362" customFormat="1" ht="13.15" customHeight="1">
      <c r="D72" s="406"/>
      <c r="E72" s="368" t="s">
        <v>660</v>
      </c>
      <c r="H72" s="1950"/>
      <c r="I72" s="2010"/>
      <c r="J72" s="2011"/>
      <c r="K72" s="1131" t="s">
        <v>2945</v>
      </c>
      <c r="L72" s="1950"/>
      <c r="M72" s="2010"/>
      <c r="N72" s="2011"/>
      <c r="O72" s="1134" t="s">
        <v>1928</v>
      </c>
      <c r="Q72" s="1958"/>
      <c r="R72" s="1963"/>
      <c r="S72" s="1959"/>
    </row>
    <row r="73" spans="2:19" s="362" customFormat="1" ht="13.15" customHeight="1">
      <c r="E73" s="368" t="s">
        <v>1924</v>
      </c>
      <c r="H73" s="1964"/>
      <c r="I73" s="393" t="s">
        <v>2376</v>
      </c>
      <c r="J73" s="1961"/>
      <c r="K73" s="2011"/>
      <c r="O73" s="1134" t="s">
        <v>2115</v>
      </c>
      <c r="Q73" s="1958"/>
      <c r="R73" s="1963"/>
      <c r="S73" s="1959"/>
    </row>
    <row r="74" spans="2:19" s="362" customFormat="1" ht="13.15" customHeight="1">
      <c r="D74" s="406"/>
      <c r="E74" s="368" t="s">
        <v>2121</v>
      </c>
      <c r="H74" s="1958"/>
      <c r="I74" s="1959"/>
      <c r="J74" s="2041"/>
      <c r="K74" s="1139" t="s">
        <v>1927</v>
      </c>
      <c r="L74" s="1996"/>
      <c r="M74" s="2011"/>
      <c r="N74" s="370" t="s">
        <v>2120</v>
      </c>
      <c r="O74" s="1965"/>
      <c r="P74" s="1966"/>
      <c r="Q74" s="1966"/>
      <c r="R74" s="1966"/>
      <c r="S74" s="1967"/>
    </row>
    <row r="75" spans="2:19" ht="6.6" customHeight="1">
      <c r="H75" s="2048"/>
      <c r="I75" s="2048"/>
      <c r="J75" s="2048"/>
      <c r="K75" s="1139"/>
      <c r="L75" s="2048"/>
      <c r="M75" s="2048"/>
      <c r="N75" s="1135"/>
      <c r="O75" s="2047"/>
      <c r="P75" s="2047"/>
      <c r="Q75" s="1139"/>
      <c r="R75" s="2047"/>
      <c r="S75" s="2047"/>
    </row>
    <row r="76" spans="2:19" s="362" customFormat="1" ht="13.15" customHeight="1">
      <c r="B76" s="365" t="s">
        <v>2254</v>
      </c>
      <c r="C76" s="365" t="s">
        <v>301</v>
      </c>
      <c r="H76" s="1950"/>
      <c r="I76" s="2010"/>
      <c r="J76" s="2010"/>
      <c r="K76" s="2010"/>
      <c r="L76" s="2010"/>
      <c r="M76" s="2010"/>
      <c r="N76" s="2011"/>
      <c r="O76" s="1134" t="s">
        <v>2126</v>
      </c>
      <c r="P76" s="1134"/>
      <c r="Q76" s="1950"/>
      <c r="R76" s="2010"/>
      <c r="S76" s="2011"/>
    </row>
    <row r="77" spans="2:19" s="362" customFormat="1" ht="13.15" customHeight="1">
      <c r="D77" s="406"/>
      <c r="E77" s="368" t="s">
        <v>1084</v>
      </c>
      <c r="F77" s="376"/>
      <c r="H77" s="1950"/>
      <c r="I77" s="2010"/>
      <c r="J77" s="2010"/>
      <c r="K77" s="2010"/>
      <c r="L77" s="2010"/>
      <c r="M77" s="2010"/>
      <c r="N77" s="2011"/>
      <c r="O77" s="1134" t="s">
        <v>1871</v>
      </c>
      <c r="Q77" s="1950"/>
      <c r="R77" s="2010"/>
      <c r="S77" s="2011"/>
    </row>
    <row r="78" spans="2:19" s="362" customFormat="1" ht="13.15" customHeight="1">
      <c r="D78" s="406"/>
      <c r="E78" s="368" t="s">
        <v>660</v>
      </c>
      <c r="H78" s="1950"/>
      <c r="I78" s="2010"/>
      <c r="J78" s="2011"/>
      <c r="K78" s="1131" t="s">
        <v>2945</v>
      </c>
      <c r="L78" s="1950"/>
      <c r="M78" s="2010"/>
      <c r="N78" s="2011"/>
      <c r="O78" s="1134" t="s">
        <v>1928</v>
      </c>
      <c r="Q78" s="1958"/>
      <c r="R78" s="1963"/>
      <c r="S78" s="1959"/>
    </row>
    <row r="79" spans="2:19" s="362" customFormat="1" ht="13.15" customHeight="1">
      <c r="E79" s="368" t="s">
        <v>1924</v>
      </c>
      <c r="H79" s="1964"/>
      <c r="I79" s="393" t="s">
        <v>2376</v>
      </c>
      <c r="J79" s="1961"/>
      <c r="K79" s="2011"/>
      <c r="O79" s="1134" t="s">
        <v>2115</v>
      </c>
      <c r="Q79" s="1958"/>
      <c r="R79" s="1963"/>
      <c r="S79" s="1959"/>
    </row>
    <row r="80" spans="2:19" s="362" customFormat="1" ht="13.15" customHeight="1">
      <c r="D80" s="406"/>
      <c r="E80" s="368" t="s">
        <v>2121</v>
      </c>
      <c r="H80" s="1958"/>
      <c r="I80" s="1959"/>
      <c r="J80" s="2041"/>
      <c r="K80" s="1139" t="s">
        <v>1927</v>
      </c>
      <c r="L80" s="1996"/>
      <c r="M80" s="2011"/>
      <c r="N80" s="370" t="s">
        <v>2120</v>
      </c>
      <c r="O80" s="1965"/>
      <c r="P80" s="1966"/>
      <c r="Q80" s="1966"/>
      <c r="R80" s="1966"/>
      <c r="S80" s="1967"/>
    </row>
    <row r="81" spans="1:19" ht="6.75" customHeight="1"/>
    <row r="82" spans="1:19" s="368" customFormat="1" ht="13.15" customHeight="1">
      <c r="A82" s="369" t="s">
        <v>793</v>
      </c>
      <c r="B82" s="369" t="s">
        <v>302</v>
      </c>
      <c r="D82" s="369"/>
      <c r="E82" s="1134"/>
      <c r="F82" s="329"/>
      <c r="G82" s="329"/>
      <c r="H82" s="329"/>
      <c r="I82" s="329"/>
      <c r="J82" s="329"/>
      <c r="K82" s="329"/>
      <c r="L82" s="329"/>
      <c r="M82" s="329"/>
    </row>
    <row r="83" spans="1:19" s="368" customFormat="1" ht="9" customHeight="1">
      <c r="A83" s="369"/>
      <c r="B83" s="369"/>
      <c r="D83" s="369"/>
      <c r="E83" s="1134"/>
      <c r="F83" s="329"/>
      <c r="G83" s="329"/>
      <c r="H83" s="2046"/>
      <c r="I83" s="2046"/>
      <c r="J83" s="2046"/>
      <c r="K83" s="1135"/>
      <c r="L83" s="2046"/>
      <c r="M83" s="2046"/>
      <c r="N83" s="1135"/>
      <c r="O83" s="2047"/>
      <c r="P83" s="2047"/>
      <c r="Q83" s="1139"/>
      <c r="R83" s="2047"/>
      <c r="S83" s="2047"/>
    </row>
    <row r="84" spans="1:19" s="362" customFormat="1" ht="13.15" customHeight="1">
      <c r="B84" s="365" t="s">
        <v>2119</v>
      </c>
      <c r="C84" s="365" t="s">
        <v>303</v>
      </c>
      <c r="H84" s="1950"/>
      <c r="I84" s="2010"/>
      <c r="J84" s="2010"/>
      <c r="K84" s="2010"/>
      <c r="L84" s="2010"/>
      <c r="M84" s="2010"/>
      <c r="N84" s="2011"/>
      <c r="O84" s="1134" t="s">
        <v>2126</v>
      </c>
      <c r="P84" s="1134"/>
      <c r="Q84" s="1950"/>
      <c r="R84" s="2010"/>
      <c r="S84" s="2011"/>
    </row>
    <row r="85" spans="1:19" s="362" customFormat="1" ht="13.15" customHeight="1">
      <c r="D85" s="406"/>
      <c r="E85" s="368" t="s">
        <v>1084</v>
      </c>
      <c r="F85" s="376"/>
      <c r="H85" s="1950"/>
      <c r="I85" s="2010"/>
      <c r="J85" s="2010"/>
      <c r="K85" s="2010"/>
      <c r="L85" s="2010"/>
      <c r="M85" s="2010"/>
      <c r="N85" s="2011"/>
      <c r="O85" s="1134" t="s">
        <v>1871</v>
      </c>
      <c r="Q85" s="1950"/>
      <c r="R85" s="2010"/>
      <c r="S85" s="2011"/>
    </row>
    <row r="86" spans="1:19" s="362" customFormat="1" ht="13.15" customHeight="1">
      <c r="D86" s="406"/>
      <c r="E86" s="368" t="s">
        <v>660</v>
      </c>
      <c r="H86" s="1950"/>
      <c r="I86" s="2010"/>
      <c r="J86" s="2011"/>
      <c r="K86" s="1131" t="s">
        <v>2945</v>
      </c>
      <c r="L86" s="1950"/>
      <c r="M86" s="2010"/>
      <c r="N86" s="2011"/>
      <c r="O86" s="1134" t="s">
        <v>1928</v>
      </c>
      <c r="Q86" s="1958"/>
      <c r="R86" s="1963"/>
      <c r="S86" s="1959"/>
    </row>
    <row r="87" spans="1:19" s="362" customFormat="1" ht="13.15" customHeight="1">
      <c r="E87" s="368" t="s">
        <v>1924</v>
      </c>
      <c r="H87" s="1964"/>
      <c r="I87" s="393" t="s">
        <v>2376</v>
      </c>
      <c r="J87" s="1961"/>
      <c r="K87" s="2011"/>
      <c r="O87" s="1134" t="s">
        <v>2115</v>
      </c>
      <c r="Q87" s="1958"/>
      <c r="R87" s="1963"/>
      <c r="S87" s="1959"/>
    </row>
    <row r="88" spans="1:19" s="362" customFormat="1" ht="13.15" customHeight="1">
      <c r="D88" s="406"/>
      <c r="E88" s="368" t="s">
        <v>2121</v>
      </c>
      <c r="H88" s="1958"/>
      <c r="I88" s="1959"/>
      <c r="J88" s="2041"/>
      <c r="K88" s="1139" t="s">
        <v>1927</v>
      </c>
      <c r="L88" s="1996"/>
      <c r="M88" s="2011"/>
      <c r="N88" s="370" t="s">
        <v>2120</v>
      </c>
      <c r="O88" s="1965"/>
      <c r="P88" s="1966"/>
      <c r="Q88" s="1966"/>
      <c r="R88" s="1966"/>
      <c r="S88" s="1967"/>
    </row>
    <row r="89" spans="1:19" ht="6.6" customHeight="1">
      <c r="H89" s="2048"/>
      <c r="I89" s="2048"/>
      <c r="J89" s="2048"/>
      <c r="K89" s="1139"/>
      <c r="L89" s="2048"/>
      <c r="M89" s="2048"/>
      <c r="N89" s="1135"/>
      <c r="O89" s="2047"/>
      <c r="P89" s="2047"/>
      <c r="Q89" s="1139"/>
      <c r="R89" s="2047"/>
      <c r="S89" s="2047"/>
    </row>
    <row r="90" spans="1:19" s="362" customFormat="1" ht="13.15" customHeight="1">
      <c r="B90" s="365" t="s">
        <v>2122</v>
      </c>
      <c r="C90" s="365" t="s">
        <v>304</v>
      </c>
      <c r="H90" s="1950" t="s">
        <v>3730</v>
      </c>
      <c r="I90" s="2010"/>
      <c r="J90" s="2010"/>
      <c r="K90" s="2010"/>
      <c r="L90" s="2010"/>
      <c r="M90" s="2010"/>
      <c r="N90" s="2011"/>
      <c r="O90" s="1134" t="s">
        <v>2126</v>
      </c>
      <c r="P90" s="1134"/>
      <c r="Q90" s="1950" t="s">
        <v>3731</v>
      </c>
      <c r="R90" s="2010"/>
      <c r="S90" s="2011"/>
    </row>
    <row r="91" spans="1:19" s="362" customFormat="1" ht="13.15" customHeight="1">
      <c r="D91" s="406"/>
      <c r="E91" s="368" t="s">
        <v>1084</v>
      </c>
      <c r="F91" s="376"/>
      <c r="H91" s="1950" t="s">
        <v>3733</v>
      </c>
      <c r="I91" s="2010"/>
      <c r="J91" s="2010"/>
      <c r="K91" s="2010"/>
      <c r="L91" s="2010"/>
      <c r="M91" s="2010"/>
      <c r="N91" s="2011"/>
      <c r="O91" s="1134" t="s">
        <v>1871</v>
      </c>
      <c r="Q91" s="1950" t="s">
        <v>3732</v>
      </c>
      <c r="R91" s="2010"/>
      <c r="S91" s="2011"/>
    </row>
    <row r="92" spans="1:19" s="362" customFormat="1" ht="13.15" customHeight="1">
      <c r="D92" s="406"/>
      <c r="E92" s="368" t="s">
        <v>660</v>
      </c>
      <c r="H92" s="1950" t="s">
        <v>1283</v>
      </c>
      <c r="I92" s="2010"/>
      <c r="J92" s="2011"/>
      <c r="K92" s="1131" t="s">
        <v>2945</v>
      </c>
      <c r="L92" s="1950" t="s">
        <v>3734</v>
      </c>
      <c r="M92" s="2010"/>
      <c r="N92" s="2011"/>
      <c r="O92" s="1134" t="s">
        <v>1928</v>
      </c>
      <c r="Q92" s="1958">
        <v>4043300917</v>
      </c>
      <c r="R92" s="1963"/>
      <c r="S92" s="1959"/>
    </row>
    <row r="93" spans="1:19" s="362" customFormat="1" ht="13.15" customHeight="1">
      <c r="E93" s="368" t="s">
        <v>1924</v>
      </c>
      <c r="H93" s="1964" t="s">
        <v>903</v>
      </c>
      <c r="I93" s="393" t="s">
        <v>2376</v>
      </c>
      <c r="J93" s="1961">
        <v>303130000</v>
      </c>
      <c r="K93" s="2011"/>
      <c r="O93" s="1134" t="s">
        <v>2115</v>
      </c>
      <c r="Q93" s="1958">
        <v>4045090513</v>
      </c>
      <c r="R93" s="1963"/>
      <c r="S93" s="1959"/>
    </row>
    <row r="94" spans="1:19" s="362" customFormat="1" ht="13.15" customHeight="1">
      <c r="D94" s="406"/>
      <c r="E94" s="368" t="s">
        <v>2121</v>
      </c>
      <c r="H94" s="1958">
        <v>4043301000</v>
      </c>
      <c r="I94" s="1959"/>
      <c r="J94" s="2041"/>
      <c r="K94" s="1139" t="s">
        <v>1927</v>
      </c>
      <c r="L94" s="1996">
        <v>4046885179</v>
      </c>
      <c r="M94" s="2011"/>
      <c r="N94" s="370" t="s">
        <v>2120</v>
      </c>
      <c r="O94" s="1965" t="s">
        <v>3735</v>
      </c>
      <c r="P94" s="1966"/>
      <c r="Q94" s="1966"/>
      <c r="R94" s="1966"/>
      <c r="S94" s="1967"/>
    </row>
    <row r="95" spans="1:19" ht="6.6" customHeight="1">
      <c r="H95" s="2048"/>
      <c r="I95" s="2048"/>
      <c r="J95" s="2048"/>
      <c r="K95" s="1139"/>
      <c r="L95" s="2048"/>
      <c r="M95" s="2048"/>
      <c r="N95" s="1135"/>
      <c r="O95" s="2047"/>
      <c r="P95" s="2047"/>
      <c r="Q95" s="1139"/>
      <c r="R95" s="2047"/>
      <c r="S95" s="2047"/>
    </row>
    <row r="96" spans="1:19" s="362" customFormat="1" ht="13.15" customHeight="1">
      <c r="B96" s="365" t="s">
        <v>800</v>
      </c>
      <c r="C96" s="365" t="s">
        <v>305</v>
      </c>
      <c r="F96" s="382"/>
      <c r="H96" s="1950" t="s">
        <v>3736</v>
      </c>
      <c r="I96" s="2010"/>
      <c r="J96" s="2010"/>
      <c r="K96" s="2010"/>
      <c r="L96" s="2010"/>
      <c r="M96" s="2010"/>
      <c r="N96" s="2011"/>
      <c r="O96" s="1134" t="s">
        <v>2126</v>
      </c>
      <c r="P96" s="1134"/>
      <c r="Q96" s="1950" t="s">
        <v>3737</v>
      </c>
      <c r="R96" s="2010"/>
      <c r="S96" s="2011"/>
    </row>
    <row r="97" spans="2:19" s="362" customFormat="1" ht="13.15" customHeight="1">
      <c r="D97" s="406"/>
      <c r="E97" s="368" t="s">
        <v>1084</v>
      </c>
      <c r="F97" s="376"/>
      <c r="H97" s="1950" t="s">
        <v>3712</v>
      </c>
      <c r="I97" s="2010"/>
      <c r="J97" s="2010"/>
      <c r="K97" s="2010"/>
      <c r="L97" s="2010"/>
      <c r="M97" s="2010"/>
      <c r="N97" s="2011"/>
      <c r="O97" s="1134" t="s">
        <v>1871</v>
      </c>
      <c r="Q97" s="1950" t="s">
        <v>3738</v>
      </c>
      <c r="R97" s="2010"/>
      <c r="S97" s="2011"/>
    </row>
    <row r="98" spans="2:19" s="362" customFormat="1" ht="13.15" customHeight="1">
      <c r="D98" s="406"/>
      <c r="E98" s="368" t="s">
        <v>660</v>
      </c>
      <c r="H98" s="1950" t="s">
        <v>1283</v>
      </c>
      <c r="I98" s="2010"/>
      <c r="J98" s="2011"/>
      <c r="K98" s="1131" t="s">
        <v>2945</v>
      </c>
      <c r="L98" s="1950"/>
      <c r="M98" s="2010"/>
      <c r="N98" s="2011"/>
      <c r="O98" s="1134" t="s">
        <v>1928</v>
      </c>
      <c r="Q98" s="1958">
        <v>6785145905</v>
      </c>
      <c r="R98" s="1963"/>
      <c r="S98" s="1959"/>
    </row>
    <row r="99" spans="2:19" s="362" customFormat="1" ht="13.15" customHeight="1">
      <c r="D99" s="406"/>
      <c r="E99" s="368" t="s">
        <v>1924</v>
      </c>
      <c r="H99" s="1964" t="s">
        <v>903</v>
      </c>
      <c r="I99" s="393" t="s">
        <v>2376</v>
      </c>
      <c r="J99" s="1961">
        <v>303421372</v>
      </c>
      <c r="K99" s="2011"/>
      <c r="O99" s="1134" t="s">
        <v>2115</v>
      </c>
      <c r="Q99" s="1958">
        <v>4047750732</v>
      </c>
      <c r="R99" s="1963"/>
      <c r="S99" s="1959"/>
    </row>
    <row r="100" spans="2:19" s="362" customFormat="1" ht="13.15" customHeight="1">
      <c r="D100" s="406"/>
      <c r="E100" s="368" t="s">
        <v>2121</v>
      </c>
      <c r="H100" s="1958">
        <v>6785145900</v>
      </c>
      <c r="I100" s="1959"/>
      <c r="J100" s="2041"/>
      <c r="K100" s="1139" t="s">
        <v>1927</v>
      </c>
      <c r="L100" s="1996">
        <v>6785145919</v>
      </c>
      <c r="M100" s="2011"/>
      <c r="N100" s="370" t="s">
        <v>2120</v>
      </c>
      <c r="O100" s="1965" t="s">
        <v>3739</v>
      </c>
      <c r="P100" s="1966"/>
      <c r="Q100" s="1966"/>
      <c r="R100" s="1966"/>
      <c r="S100" s="1967"/>
    </row>
    <row r="101" spans="2:19" ht="6.6" customHeight="1">
      <c r="H101" s="2048"/>
      <c r="I101" s="2048"/>
      <c r="J101" s="2048"/>
      <c r="K101" s="1139"/>
      <c r="L101" s="2048"/>
      <c r="M101" s="2048"/>
      <c r="N101" s="1135"/>
      <c r="O101" s="2047"/>
      <c r="P101" s="2047"/>
      <c r="Q101" s="1139"/>
      <c r="R101" s="2047"/>
      <c r="S101" s="2047"/>
    </row>
    <row r="102" spans="2:19" s="362" customFormat="1" ht="13.15" customHeight="1">
      <c r="B102" s="365" t="s">
        <v>2254</v>
      </c>
      <c r="C102" s="365" t="s">
        <v>306</v>
      </c>
      <c r="H102" s="1950" t="s">
        <v>3740</v>
      </c>
      <c r="I102" s="2010"/>
      <c r="J102" s="2010"/>
      <c r="K102" s="2010"/>
      <c r="L102" s="2010"/>
      <c r="M102" s="2010"/>
      <c r="N102" s="2011"/>
      <c r="O102" s="1134" t="s">
        <v>2126</v>
      </c>
      <c r="P102" s="1134"/>
      <c r="Q102" s="1950" t="s">
        <v>3741</v>
      </c>
      <c r="R102" s="2010"/>
      <c r="S102" s="2011"/>
    </row>
    <row r="103" spans="2:19" s="362" customFormat="1" ht="13.15" customHeight="1">
      <c r="D103" s="406"/>
      <c r="E103" s="368" t="s">
        <v>1084</v>
      </c>
      <c r="F103" s="376"/>
      <c r="H103" s="1950" t="s">
        <v>3743</v>
      </c>
      <c r="I103" s="2010"/>
      <c r="J103" s="2010"/>
      <c r="K103" s="2010"/>
      <c r="L103" s="2010"/>
      <c r="M103" s="2010"/>
      <c r="N103" s="2011"/>
      <c r="O103" s="1134" t="s">
        <v>1871</v>
      </c>
      <c r="Q103" s="1950" t="s">
        <v>3742</v>
      </c>
      <c r="R103" s="2010"/>
      <c r="S103" s="2011"/>
    </row>
    <row r="104" spans="2:19" s="362" customFormat="1" ht="13.15" customHeight="1">
      <c r="D104" s="406"/>
      <c r="E104" s="368" t="s">
        <v>660</v>
      </c>
      <c r="H104" s="1950" t="s">
        <v>3744</v>
      </c>
      <c r="I104" s="2010"/>
      <c r="J104" s="2011"/>
      <c r="K104" s="1131" t="s">
        <v>2945</v>
      </c>
      <c r="L104" s="1950" t="s">
        <v>3745</v>
      </c>
      <c r="M104" s="2010"/>
      <c r="N104" s="2011"/>
      <c r="O104" s="1134" t="s">
        <v>1928</v>
      </c>
      <c r="Q104" s="1958">
        <v>3123682105</v>
      </c>
      <c r="R104" s="1963"/>
      <c r="S104" s="1959"/>
    </row>
    <row r="105" spans="2:19" s="362" customFormat="1" ht="13.15" customHeight="1">
      <c r="D105" s="406"/>
      <c r="E105" s="368" t="s">
        <v>1924</v>
      </c>
      <c r="H105" s="1964" t="s">
        <v>906</v>
      </c>
      <c r="I105" s="393" t="s">
        <v>2376</v>
      </c>
      <c r="J105" s="1961">
        <v>606011293</v>
      </c>
      <c r="K105" s="2011"/>
      <c r="O105" s="1134" t="s">
        <v>2115</v>
      </c>
      <c r="Q105" s="1958">
        <v>3125135385</v>
      </c>
      <c r="R105" s="1963"/>
      <c r="S105" s="1959"/>
    </row>
    <row r="106" spans="2:19" ht="13.15" customHeight="1">
      <c r="E106" s="368" t="s">
        <v>2121</v>
      </c>
      <c r="F106" s="362"/>
      <c r="G106" s="362"/>
      <c r="H106" s="1958">
        <v>3123684000</v>
      </c>
      <c r="I106" s="1959"/>
      <c r="J106" s="2041"/>
      <c r="K106" s="1139" t="s">
        <v>1927</v>
      </c>
      <c r="L106" s="1996">
        <v>3126305341</v>
      </c>
      <c r="M106" s="2011"/>
      <c r="N106" s="370" t="s">
        <v>2120</v>
      </c>
      <c r="O106" s="1965" t="s">
        <v>3746</v>
      </c>
      <c r="P106" s="1966"/>
      <c r="Q106" s="1966"/>
      <c r="R106" s="1966"/>
      <c r="S106" s="1967"/>
    </row>
    <row r="107" spans="2:19" ht="6" customHeight="1">
      <c r="E107" s="368"/>
      <c r="F107" s="362"/>
      <c r="G107" s="362"/>
      <c r="H107" s="362"/>
      <c r="I107" s="362"/>
      <c r="J107" s="362"/>
      <c r="K107" s="362"/>
      <c r="L107" s="362"/>
      <c r="M107" s="362"/>
      <c r="N107" s="362"/>
      <c r="O107" s="362"/>
      <c r="P107" s="362"/>
      <c r="Q107" s="1139"/>
      <c r="R107" s="1139"/>
      <c r="S107" s="2050"/>
    </row>
    <row r="108" spans="2:19" ht="0.6" customHeight="1">
      <c r="E108" s="368"/>
      <c r="F108" s="362"/>
      <c r="G108" s="1142"/>
      <c r="H108" s="2046"/>
      <c r="I108" s="2046"/>
      <c r="J108" s="2046"/>
      <c r="K108" s="1135"/>
      <c r="L108" s="2046"/>
      <c r="M108" s="2046"/>
      <c r="N108" s="1135"/>
      <c r="O108" s="2047"/>
      <c r="P108" s="2047"/>
      <c r="Q108" s="1139"/>
      <c r="R108" s="2047"/>
      <c r="S108" s="2047"/>
    </row>
    <row r="109" spans="2:19" s="362" customFormat="1" ht="13.15" customHeight="1">
      <c r="B109" s="365" t="s">
        <v>1858</v>
      </c>
      <c r="C109" s="365" t="s">
        <v>307</v>
      </c>
      <c r="H109" s="1950" t="s">
        <v>3747</v>
      </c>
      <c r="I109" s="2010"/>
      <c r="J109" s="2010"/>
      <c r="K109" s="2010"/>
      <c r="L109" s="2010"/>
      <c r="M109" s="2010"/>
      <c r="N109" s="2011"/>
      <c r="O109" s="1134" t="s">
        <v>2126</v>
      </c>
      <c r="P109" s="1134"/>
      <c r="Q109" s="1950" t="s">
        <v>3748</v>
      </c>
      <c r="R109" s="2010"/>
      <c r="S109" s="2011"/>
    </row>
    <row r="110" spans="2:19" s="362" customFormat="1" ht="13.15" customHeight="1">
      <c r="D110" s="406"/>
      <c r="E110" s="368" t="s">
        <v>1084</v>
      </c>
      <c r="F110" s="376"/>
      <c r="H110" s="1950" t="s">
        <v>3749</v>
      </c>
      <c r="I110" s="2010"/>
      <c r="J110" s="2010"/>
      <c r="K110" s="2010"/>
      <c r="L110" s="2010"/>
      <c r="M110" s="2010"/>
      <c r="N110" s="2011"/>
      <c r="O110" s="1134" t="s">
        <v>1871</v>
      </c>
      <c r="Q110" s="1950" t="s">
        <v>3750</v>
      </c>
      <c r="R110" s="2010"/>
      <c r="S110" s="2011"/>
    </row>
    <row r="111" spans="2:19" s="362" customFormat="1" ht="13.15" customHeight="1">
      <c r="D111" s="406"/>
      <c r="E111" s="368" t="s">
        <v>660</v>
      </c>
      <c r="H111" s="1950" t="s">
        <v>1283</v>
      </c>
      <c r="I111" s="2010"/>
      <c r="J111" s="2011"/>
      <c r="K111" s="1131" t="s">
        <v>2945</v>
      </c>
      <c r="L111" s="1950" t="s">
        <v>3751</v>
      </c>
      <c r="M111" s="2010"/>
      <c r="N111" s="2011"/>
      <c r="O111" s="1134" t="s">
        <v>1928</v>
      </c>
      <c r="Q111" s="1958">
        <v>4048479447</v>
      </c>
      <c r="R111" s="1963"/>
      <c r="S111" s="1959"/>
    </row>
    <row r="112" spans="2:19" s="362" customFormat="1" ht="13.15" customHeight="1">
      <c r="D112" s="406"/>
      <c r="E112" s="368" t="s">
        <v>1924</v>
      </c>
      <c r="H112" s="1964" t="s">
        <v>903</v>
      </c>
      <c r="I112" s="393" t="s">
        <v>2376</v>
      </c>
      <c r="J112" s="1961">
        <v>303264276</v>
      </c>
      <c r="K112" s="2011"/>
      <c r="O112" s="1134" t="s">
        <v>2115</v>
      </c>
      <c r="Q112" s="1958">
        <v>4042857248</v>
      </c>
      <c r="R112" s="1963"/>
      <c r="S112" s="1959"/>
    </row>
    <row r="113" spans="1:19" ht="13.15" customHeight="1">
      <c r="E113" s="368" t="s">
        <v>2121</v>
      </c>
      <c r="F113" s="362"/>
      <c r="G113" s="362"/>
      <c r="H113" s="1958">
        <v>4048479447</v>
      </c>
      <c r="I113" s="1959"/>
      <c r="J113" s="2041"/>
      <c r="K113" s="1139" t="s">
        <v>1927</v>
      </c>
      <c r="L113" s="1996">
        <v>4048477627</v>
      </c>
      <c r="M113" s="2011"/>
      <c r="N113" s="370" t="s">
        <v>2120</v>
      </c>
      <c r="O113" s="1965" t="s">
        <v>3752</v>
      </c>
      <c r="P113" s="1966"/>
      <c r="Q113" s="1966"/>
      <c r="R113" s="1966"/>
      <c r="S113" s="1967"/>
    </row>
    <row r="114" spans="1:19" ht="6.6" customHeight="1">
      <c r="E114" s="368"/>
      <c r="F114" s="362"/>
      <c r="G114" s="1142"/>
      <c r="H114" s="2048"/>
      <c r="I114" s="2048"/>
      <c r="J114" s="2048"/>
      <c r="K114" s="1139"/>
      <c r="L114" s="2048"/>
      <c r="M114" s="2048"/>
      <c r="N114" s="1135"/>
      <c r="O114" s="2047"/>
      <c r="P114" s="2047"/>
      <c r="Q114" s="1139"/>
      <c r="R114" s="2047"/>
      <c r="S114" s="2047"/>
    </row>
    <row r="115" spans="1:19" s="362" customFormat="1" ht="13.15" customHeight="1">
      <c r="B115" s="365" t="s">
        <v>1859</v>
      </c>
      <c r="C115" s="365" t="s">
        <v>308</v>
      </c>
      <c r="H115" s="1950" t="s">
        <v>3753</v>
      </c>
      <c r="I115" s="2010"/>
      <c r="J115" s="2010"/>
      <c r="K115" s="2010"/>
      <c r="L115" s="2010"/>
      <c r="M115" s="2010"/>
      <c r="N115" s="2011"/>
      <c r="O115" s="1134" t="s">
        <v>2126</v>
      </c>
      <c r="P115" s="1134"/>
      <c r="Q115" s="1950" t="s">
        <v>3754</v>
      </c>
      <c r="R115" s="2010"/>
      <c r="S115" s="2011"/>
    </row>
    <row r="116" spans="1:19" s="362" customFormat="1" ht="13.15" customHeight="1">
      <c r="D116" s="406"/>
      <c r="E116" s="368" t="s">
        <v>1084</v>
      </c>
      <c r="F116" s="376"/>
      <c r="H116" s="1950" t="s">
        <v>3755</v>
      </c>
      <c r="I116" s="2010"/>
      <c r="J116" s="2010"/>
      <c r="K116" s="2010"/>
      <c r="L116" s="2010"/>
      <c r="M116" s="2010"/>
      <c r="N116" s="2011"/>
      <c r="O116" s="1134" t="s">
        <v>1871</v>
      </c>
      <c r="Q116" s="1950" t="s">
        <v>3757</v>
      </c>
      <c r="R116" s="2010"/>
      <c r="S116" s="2011"/>
    </row>
    <row r="117" spans="1:19" s="362" customFormat="1" ht="13.15" customHeight="1">
      <c r="D117" s="406"/>
      <c r="E117" s="368" t="s">
        <v>660</v>
      </c>
      <c r="H117" s="1950" t="s">
        <v>1283</v>
      </c>
      <c r="I117" s="2010"/>
      <c r="J117" s="2011"/>
      <c r="K117" s="1131" t="s">
        <v>2945</v>
      </c>
      <c r="L117" s="1950" t="s">
        <v>3756</v>
      </c>
      <c r="M117" s="2010"/>
      <c r="N117" s="2011"/>
      <c r="O117" s="1134" t="s">
        <v>1928</v>
      </c>
      <c r="Q117" s="1958">
        <v>4043732888</v>
      </c>
      <c r="R117" s="1963"/>
      <c r="S117" s="1959"/>
    </row>
    <row r="118" spans="1:19" s="362" customFormat="1" ht="13.15" customHeight="1">
      <c r="D118" s="411"/>
      <c r="E118" s="368" t="s">
        <v>1924</v>
      </c>
      <c r="H118" s="1964" t="s">
        <v>903</v>
      </c>
      <c r="I118" s="393" t="s">
        <v>2376</v>
      </c>
      <c r="J118" s="1961">
        <v>300300000</v>
      </c>
      <c r="K118" s="2011"/>
      <c r="O118" s="1134" t="s">
        <v>2115</v>
      </c>
      <c r="Q118" s="1958">
        <v>4042903390</v>
      </c>
      <c r="R118" s="1963"/>
      <c r="S118" s="1959"/>
    </row>
    <row r="119" spans="1:19" s="362" customFormat="1" ht="13.15" customHeight="1">
      <c r="D119" s="411"/>
      <c r="E119" s="368" t="s">
        <v>2121</v>
      </c>
      <c r="H119" s="1958">
        <v>4043732800</v>
      </c>
      <c r="I119" s="1959"/>
      <c r="J119" s="2041"/>
      <c r="K119" s="1139" t="s">
        <v>1927</v>
      </c>
      <c r="L119" s="1996">
        <v>4043732888</v>
      </c>
      <c r="M119" s="2011"/>
      <c r="N119" s="370" t="s">
        <v>2120</v>
      </c>
      <c r="O119" s="1965" t="s">
        <v>3758</v>
      </c>
      <c r="P119" s="1966"/>
      <c r="Q119" s="1966"/>
      <c r="R119" s="1966"/>
      <c r="S119" s="1967"/>
    </row>
    <row r="120" spans="1:19" ht="6" customHeight="1"/>
    <row r="121" spans="1:19" s="362" customFormat="1" ht="13.15" customHeight="1">
      <c r="A121" s="365" t="s">
        <v>1917</v>
      </c>
      <c r="B121" s="365" t="s">
        <v>2786</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15" customHeight="1">
      <c r="B123" s="365" t="s">
        <v>2119</v>
      </c>
      <c r="C123" s="365" t="s">
        <v>3384</v>
      </c>
    </row>
    <row r="124" spans="1:19" ht="13.15" customHeight="1">
      <c r="C124" s="382" t="s">
        <v>3385</v>
      </c>
      <c r="H124" s="442" t="s">
        <v>2682</v>
      </c>
      <c r="I124" s="382" t="s">
        <v>3388</v>
      </c>
    </row>
    <row r="125" spans="1:19" s="362" customFormat="1" ht="13.15" customHeight="1">
      <c r="C125" s="716" t="s">
        <v>2123</v>
      </c>
      <c r="D125" s="362" t="s">
        <v>3386</v>
      </c>
      <c r="H125" s="2051" t="s">
        <v>3702</v>
      </c>
      <c r="I125" s="2052"/>
      <c r="J125" s="2053"/>
      <c r="K125" s="2053"/>
      <c r="L125" s="2053"/>
      <c r="M125" s="2053"/>
      <c r="N125" s="2053"/>
      <c r="O125" s="2053"/>
      <c r="P125" s="2053"/>
      <c r="Q125" s="2053"/>
      <c r="R125" s="2053"/>
      <c r="S125" s="2054"/>
    </row>
    <row r="126" spans="1:19" s="362" customFormat="1" ht="13.15" customHeight="1">
      <c r="C126" s="716" t="s">
        <v>2125</v>
      </c>
      <c r="D126" s="362" t="s">
        <v>3517</v>
      </c>
      <c r="H126" s="2055" t="s">
        <v>3702</v>
      </c>
      <c r="I126" s="2056"/>
      <c r="J126" s="2057"/>
      <c r="K126" s="2057"/>
      <c r="L126" s="2057"/>
      <c r="M126" s="2057"/>
      <c r="N126" s="2057"/>
      <c r="O126" s="2057"/>
      <c r="P126" s="2057"/>
      <c r="Q126" s="2057"/>
      <c r="R126" s="2057"/>
      <c r="S126" s="2058"/>
    </row>
    <row r="127" spans="1:19" s="362" customFormat="1" ht="13.15" customHeight="1">
      <c r="C127" s="716" t="s">
        <v>2708</v>
      </c>
      <c r="D127" s="362" t="s">
        <v>3576</v>
      </c>
      <c r="H127" s="2055" t="s">
        <v>3702</v>
      </c>
      <c r="I127" s="2056"/>
      <c r="J127" s="2057"/>
      <c r="K127" s="2057"/>
      <c r="L127" s="2057"/>
      <c r="M127" s="2057"/>
      <c r="N127" s="2057"/>
      <c r="O127" s="2057"/>
      <c r="P127" s="2057"/>
      <c r="Q127" s="2057"/>
      <c r="R127" s="2057"/>
      <c r="S127" s="2058"/>
    </row>
    <row r="128" spans="1:19" s="362" customFormat="1" ht="13.15" customHeight="1">
      <c r="C128" s="716" t="s">
        <v>1302</v>
      </c>
      <c r="D128" s="362" t="s">
        <v>3518</v>
      </c>
      <c r="H128" s="2055" t="s">
        <v>3702</v>
      </c>
      <c r="I128" s="2056"/>
      <c r="J128" s="2057"/>
      <c r="K128" s="2057"/>
      <c r="L128" s="2057"/>
      <c r="M128" s="2057"/>
      <c r="N128" s="2057"/>
      <c r="O128" s="2057"/>
      <c r="P128" s="2057"/>
      <c r="Q128" s="2057"/>
      <c r="R128" s="2057"/>
      <c r="S128" s="2058"/>
    </row>
    <row r="129" spans="1:19" s="362" customFormat="1" ht="13.15" customHeight="1">
      <c r="C129" s="716" t="s">
        <v>1303</v>
      </c>
      <c r="D129" s="362" t="s">
        <v>3519</v>
      </c>
      <c r="H129" s="2055" t="s">
        <v>3702</v>
      </c>
      <c r="I129" s="2056"/>
      <c r="J129" s="2057"/>
      <c r="K129" s="2057"/>
      <c r="L129" s="2057"/>
      <c r="M129" s="2057"/>
      <c r="N129" s="2057"/>
      <c r="O129" s="2057"/>
      <c r="P129" s="2057"/>
      <c r="Q129" s="2057"/>
      <c r="R129" s="2057"/>
      <c r="S129" s="2058"/>
    </row>
    <row r="130" spans="1:19" s="362" customFormat="1" ht="13.15" customHeight="1">
      <c r="C130" s="716" t="s">
        <v>2015</v>
      </c>
      <c r="D130" s="362" t="s">
        <v>3387</v>
      </c>
      <c r="H130" s="2055" t="s">
        <v>3702</v>
      </c>
      <c r="I130" s="2056"/>
      <c r="J130" s="2057"/>
      <c r="K130" s="2057"/>
      <c r="L130" s="2057"/>
      <c r="M130" s="2057"/>
      <c r="N130" s="2057"/>
      <c r="O130" s="2057"/>
      <c r="P130" s="2057"/>
      <c r="Q130" s="2057"/>
      <c r="R130" s="2057"/>
      <c r="S130" s="2058"/>
    </row>
    <row r="131" spans="1:19" s="362" customFormat="1" ht="13.15" customHeight="1">
      <c r="C131" s="716" t="s">
        <v>536</v>
      </c>
      <c r="D131" s="362" t="s">
        <v>3389</v>
      </c>
      <c r="H131" s="2055" t="s">
        <v>3702</v>
      </c>
      <c r="I131" s="2056"/>
      <c r="J131" s="2057"/>
      <c r="K131" s="2057"/>
      <c r="L131" s="2057"/>
      <c r="M131" s="2057"/>
      <c r="N131" s="2057"/>
      <c r="O131" s="2057"/>
      <c r="P131" s="2057"/>
      <c r="Q131" s="2057"/>
      <c r="R131" s="2057"/>
      <c r="S131" s="2058"/>
    </row>
    <row r="132" spans="1:19" s="362" customFormat="1" ht="13.15" customHeight="1">
      <c r="C132" s="716" t="s">
        <v>537</v>
      </c>
      <c r="D132" s="362" t="s">
        <v>1711</v>
      </c>
      <c r="H132" s="2059" t="s">
        <v>3702</v>
      </c>
      <c r="I132" s="2060"/>
      <c r="J132" s="2061"/>
      <c r="K132" s="2061"/>
      <c r="L132" s="2061"/>
      <c r="M132" s="2061"/>
      <c r="N132" s="2061"/>
      <c r="O132" s="2061"/>
      <c r="P132" s="2061"/>
      <c r="Q132" s="2061"/>
      <c r="R132" s="2061"/>
      <c r="S132" s="2062"/>
    </row>
    <row r="133" spans="1:19" s="362" customFormat="1" ht="13.15" customHeight="1">
      <c r="A133" s="365" t="s">
        <v>1917</v>
      </c>
      <c r="B133" s="365" t="s">
        <v>3410</v>
      </c>
      <c r="F133" s="365"/>
      <c r="G133" s="1139"/>
      <c r="H133" s="1139"/>
      <c r="I133" s="1139"/>
      <c r="J133" s="1139"/>
      <c r="K133" s="1139"/>
      <c r="L133" s="1139"/>
      <c r="M133" s="1139"/>
      <c r="N133" s="1139"/>
      <c r="O133" s="1139"/>
      <c r="P133" s="1139"/>
      <c r="Q133" s="1131"/>
    </row>
    <row r="134" spans="1:19" s="362" customFormat="1" ht="6.6" customHeight="1">
      <c r="A134" s="365"/>
      <c r="B134" s="365"/>
      <c r="F134" s="365"/>
      <c r="G134" s="1139"/>
      <c r="H134" s="1139"/>
      <c r="I134" s="1139"/>
      <c r="J134" s="1139"/>
      <c r="K134" s="1139"/>
      <c r="L134" s="1139"/>
      <c r="M134" s="1139"/>
      <c r="N134" s="1139"/>
      <c r="O134" s="1139"/>
      <c r="P134" s="1139"/>
      <c r="Q134" s="1131"/>
    </row>
    <row r="135" spans="1:19" ht="13.15" customHeight="1">
      <c r="B135" s="365" t="s">
        <v>2122</v>
      </c>
      <c r="C135" s="365" t="s">
        <v>3390</v>
      </c>
    </row>
    <row r="136" spans="1:19" s="362" customFormat="1" ht="6.6"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682</v>
      </c>
      <c r="B137" s="1216"/>
      <c r="C137" s="1216"/>
      <c r="D137" s="1216"/>
      <c r="E137" s="1202"/>
      <c r="F137" s="1220" t="s">
        <v>3570</v>
      </c>
      <c r="G137" s="1221"/>
      <c r="H137" s="1224" t="s">
        <v>3571</v>
      </c>
      <c r="I137" s="1225"/>
      <c r="J137" s="1225"/>
      <c r="K137" s="1225"/>
      <c r="L137" s="1233" t="s">
        <v>3572</v>
      </c>
      <c r="M137" s="1234"/>
      <c r="N137" s="1234"/>
      <c r="O137" s="1235"/>
      <c r="P137" s="1233" t="s">
        <v>3573</v>
      </c>
      <c r="Q137" s="2063"/>
      <c r="R137" s="1242" t="s">
        <v>3574</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4"/>
      <c r="Q138" s="2065"/>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4"/>
      <c r="Q139" s="2065"/>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4"/>
      <c r="Q140" s="2065"/>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6"/>
      <c r="Q141" s="2067"/>
      <c r="R141" s="1246"/>
      <c r="S141" s="1247"/>
    </row>
    <row r="142" spans="1:19" s="362" customFormat="1" ht="13.5" customHeight="1">
      <c r="A142" s="1213" t="s">
        <v>3561</v>
      </c>
      <c r="B142" s="1214"/>
      <c r="C142" s="1214"/>
      <c r="D142" s="1214"/>
      <c r="E142" s="1215"/>
      <c r="F142" s="2068" t="s">
        <v>3705</v>
      </c>
      <c r="G142" s="2068"/>
      <c r="H142" s="2068" t="s">
        <v>3702</v>
      </c>
      <c r="I142" s="2068"/>
      <c r="J142" s="2068"/>
      <c r="K142" s="2068"/>
      <c r="L142" s="2068" t="s">
        <v>3702</v>
      </c>
      <c r="M142" s="2068"/>
      <c r="N142" s="2068"/>
      <c r="O142" s="2068"/>
      <c r="P142" s="2069" t="s">
        <v>3759</v>
      </c>
      <c r="Q142" s="2070"/>
      <c r="R142" s="2071"/>
      <c r="S142" s="2072"/>
    </row>
    <row r="143" spans="1:19" s="362" customFormat="1" ht="13.5" customHeight="1">
      <c r="A143" s="1211" t="s">
        <v>3562</v>
      </c>
      <c r="B143" s="1184"/>
      <c r="C143" s="1184"/>
      <c r="D143" s="1184"/>
      <c r="E143" s="1212"/>
      <c r="F143" s="2073"/>
      <c r="G143" s="2073"/>
      <c r="H143" s="2073"/>
      <c r="I143" s="2073"/>
      <c r="J143" s="2073"/>
      <c r="K143" s="2073"/>
      <c r="L143" s="2073"/>
      <c r="M143" s="2073"/>
      <c r="N143" s="2073"/>
      <c r="O143" s="2073"/>
      <c r="P143" s="2074"/>
      <c r="Q143" s="2075"/>
      <c r="R143" s="2076"/>
      <c r="S143" s="2077"/>
    </row>
    <row r="144" spans="1:19" s="362" customFormat="1" ht="13.5" customHeight="1">
      <c r="A144" s="1211" t="s">
        <v>3563</v>
      </c>
      <c r="B144" s="1184"/>
      <c r="C144" s="1184"/>
      <c r="D144" s="1184"/>
      <c r="E144" s="1212"/>
      <c r="F144" s="2073"/>
      <c r="G144" s="2073"/>
      <c r="H144" s="2073"/>
      <c r="I144" s="2073"/>
      <c r="J144" s="2073"/>
      <c r="K144" s="2073"/>
      <c r="L144" s="2073"/>
      <c r="M144" s="2073"/>
      <c r="N144" s="2073"/>
      <c r="O144" s="2073"/>
      <c r="P144" s="2074"/>
      <c r="Q144" s="2075"/>
      <c r="R144" s="2076"/>
      <c r="S144" s="2077"/>
    </row>
    <row r="145" spans="1:24" s="362" customFormat="1" ht="13.5" customHeight="1">
      <c r="A145" s="1211" t="s">
        <v>801</v>
      </c>
      <c r="B145" s="1184"/>
      <c r="C145" s="1184"/>
      <c r="D145" s="1184"/>
      <c r="E145" s="1212"/>
      <c r="F145" s="2073" t="s">
        <v>3702</v>
      </c>
      <c r="G145" s="2073"/>
      <c r="H145" s="2073" t="s">
        <v>3702</v>
      </c>
      <c r="I145" s="2073"/>
      <c r="J145" s="2073"/>
      <c r="K145" s="2073"/>
      <c r="L145" s="2073" t="s">
        <v>3702</v>
      </c>
      <c r="M145" s="2073"/>
      <c r="N145" s="2073"/>
      <c r="O145" s="2073"/>
      <c r="P145" s="2074" t="s">
        <v>3759</v>
      </c>
      <c r="Q145" s="2075"/>
      <c r="R145" s="2076">
        <v>0.99</v>
      </c>
      <c r="S145" s="2077"/>
    </row>
    <row r="146" spans="1:24" s="362" customFormat="1" ht="13.5" customHeight="1">
      <c r="A146" s="1211" t="s">
        <v>802</v>
      </c>
      <c r="B146" s="1184"/>
      <c r="C146" s="1184"/>
      <c r="D146" s="1184"/>
      <c r="E146" s="1212"/>
      <c r="F146" s="2073" t="s">
        <v>3702</v>
      </c>
      <c r="G146" s="2073"/>
      <c r="H146" s="2073" t="s">
        <v>3702</v>
      </c>
      <c r="I146" s="2073"/>
      <c r="J146" s="2073"/>
      <c r="K146" s="2073"/>
      <c r="L146" s="2073" t="s">
        <v>3702</v>
      </c>
      <c r="M146" s="2073"/>
      <c r="N146" s="2073"/>
      <c r="O146" s="2073"/>
      <c r="P146" s="2074" t="s">
        <v>3759</v>
      </c>
      <c r="Q146" s="2075"/>
      <c r="R146" s="2076">
        <v>0.01</v>
      </c>
      <c r="S146" s="2077"/>
    </row>
    <row r="147" spans="1:24" s="362" customFormat="1" ht="13.5" customHeight="1">
      <c r="A147" s="1211" t="s">
        <v>3564</v>
      </c>
      <c r="B147" s="1184"/>
      <c r="C147" s="1184"/>
      <c r="D147" s="1184"/>
      <c r="E147" s="1212"/>
      <c r="F147" s="2073"/>
      <c r="G147" s="2073"/>
      <c r="H147" s="2073"/>
      <c r="I147" s="2073"/>
      <c r="J147" s="2073"/>
      <c r="K147" s="2073"/>
      <c r="L147" s="2073"/>
      <c r="M147" s="2073"/>
      <c r="N147" s="2073"/>
      <c r="O147" s="2073"/>
      <c r="P147" s="2074"/>
      <c r="Q147" s="2075"/>
      <c r="R147" s="2076"/>
      <c r="S147" s="2077"/>
    </row>
    <row r="148" spans="1:24" s="362" customFormat="1" ht="13.5" customHeight="1">
      <c r="A148" s="1211" t="s">
        <v>699</v>
      </c>
      <c r="B148" s="1184"/>
      <c r="C148" s="1184"/>
      <c r="D148" s="1184"/>
      <c r="E148" s="1212"/>
      <c r="F148" s="2073" t="s">
        <v>3705</v>
      </c>
      <c r="G148" s="2073"/>
      <c r="H148" s="2073" t="s">
        <v>3702</v>
      </c>
      <c r="I148" s="2073"/>
      <c r="J148" s="2073"/>
      <c r="K148" s="2073"/>
      <c r="L148" s="2073" t="s">
        <v>3702</v>
      </c>
      <c r="M148" s="2073"/>
      <c r="N148" s="2073"/>
      <c r="O148" s="2073"/>
      <c r="P148" s="2074" t="s">
        <v>3759</v>
      </c>
      <c r="Q148" s="2075"/>
      <c r="R148" s="2076"/>
      <c r="S148" s="2077"/>
    </row>
    <row r="149" spans="1:24" s="362" customFormat="1" ht="13.5" customHeight="1">
      <c r="A149" s="1211" t="s">
        <v>3565</v>
      </c>
      <c r="B149" s="1184"/>
      <c r="C149" s="1184"/>
      <c r="D149" s="1184"/>
      <c r="E149" s="1212"/>
      <c r="F149" s="2073"/>
      <c r="G149" s="2073"/>
      <c r="H149" s="2073"/>
      <c r="I149" s="2073"/>
      <c r="J149" s="2073"/>
      <c r="K149" s="2073"/>
      <c r="L149" s="2073"/>
      <c r="M149" s="2073"/>
      <c r="N149" s="2073"/>
      <c r="O149" s="2073"/>
      <c r="P149" s="2074"/>
      <c r="Q149" s="2075"/>
      <c r="R149" s="2076"/>
      <c r="S149" s="2077"/>
    </row>
    <row r="150" spans="1:24" s="362" customFormat="1" ht="13.5" customHeight="1">
      <c r="A150" s="1211" t="s">
        <v>3566</v>
      </c>
      <c r="B150" s="1184"/>
      <c r="C150" s="1184"/>
      <c r="D150" s="1184"/>
      <c r="E150" s="1212"/>
      <c r="F150" s="2073"/>
      <c r="G150" s="2073"/>
      <c r="H150" s="2073"/>
      <c r="I150" s="2073"/>
      <c r="J150" s="2073"/>
      <c r="K150" s="2073"/>
      <c r="L150" s="2073"/>
      <c r="M150" s="2073"/>
      <c r="N150" s="2073"/>
      <c r="O150" s="2073"/>
      <c r="P150" s="2074"/>
      <c r="Q150" s="2075"/>
      <c r="R150" s="2076"/>
      <c r="S150" s="2077"/>
    </row>
    <row r="151" spans="1:24" s="362" customFormat="1" ht="13.5" customHeight="1">
      <c r="A151" s="1211" t="s">
        <v>3568</v>
      </c>
      <c r="B151" s="1184"/>
      <c r="C151" s="1184"/>
      <c r="D151" s="1184"/>
      <c r="E151" s="1212"/>
      <c r="F151" s="2073"/>
      <c r="G151" s="2073"/>
      <c r="H151" s="2073"/>
      <c r="I151" s="2073"/>
      <c r="J151" s="2073"/>
      <c r="K151" s="2073"/>
      <c r="L151" s="2073"/>
      <c r="M151" s="2073"/>
      <c r="N151" s="2073"/>
      <c r="O151" s="2073"/>
      <c r="P151" s="2074"/>
      <c r="Q151" s="2075"/>
      <c r="R151" s="2076"/>
      <c r="S151" s="2077"/>
    </row>
    <row r="152" spans="1:24" s="362" customFormat="1" ht="13.5" customHeight="1">
      <c r="A152" s="1211" t="s">
        <v>3567</v>
      </c>
      <c r="B152" s="1184"/>
      <c r="C152" s="1184"/>
      <c r="D152" s="1184"/>
      <c r="E152" s="1212"/>
      <c r="F152" s="2073"/>
      <c r="G152" s="2073"/>
      <c r="H152" s="2073"/>
      <c r="I152" s="2073"/>
      <c r="J152" s="2073"/>
      <c r="K152" s="2073"/>
      <c r="L152" s="2073"/>
      <c r="M152" s="2073"/>
      <c r="N152" s="2073"/>
      <c r="O152" s="2073"/>
      <c r="P152" s="2074"/>
      <c r="Q152" s="2075"/>
      <c r="R152" s="2076"/>
      <c r="S152" s="2077"/>
    </row>
    <row r="153" spans="1:24" s="362" customFormat="1" ht="13.5" customHeight="1">
      <c r="A153" s="1211" t="s">
        <v>1636</v>
      </c>
      <c r="B153" s="1184"/>
      <c r="C153" s="1184"/>
      <c r="D153" s="1184"/>
      <c r="E153" s="1212"/>
      <c r="F153" s="2073" t="s">
        <v>3705</v>
      </c>
      <c r="G153" s="2073"/>
      <c r="H153" s="2073" t="s">
        <v>3702</v>
      </c>
      <c r="I153" s="2073"/>
      <c r="J153" s="2073"/>
      <c r="K153" s="2073"/>
      <c r="L153" s="2073" t="s">
        <v>3702</v>
      </c>
      <c r="M153" s="2073"/>
      <c r="N153" s="2073"/>
      <c r="O153" s="2073"/>
      <c r="P153" s="2074" t="s">
        <v>3759</v>
      </c>
      <c r="Q153" s="2075"/>
      <c r="R153" s="2076"/>
      <c r="S153" s="2077"/>
    </row>
    <row r="154" spans="1:24" s="362" customFormat="1" ht="13.5" customHeight="1">
      <c r="A154" s="1250" t="s">
        <v>3569</v>
      </c>
      <c r="B154" s="1251"/>
      <c r="C154" s="1251"/>
      <c r="D154" s="1251"/>
      <c r="E154" s="1252"/>
      <c r="F154" s="2078" t="s">
        <v>3705</v>
      </c>
      <c r="G154" s="2078"/>
      <c r="H154" s="2078" t="s">
        <v>3702</v>
      </c>
      <c r="I154" s="2078"/>
      <c r="J154" s="2078"/>
      <c r="K154" s="2078"/>
      <c r="L154" s="2078" t="s">
        <v>3702</v>
      </c>
      <c r="M154" s="2078"/>
      <c r="N154" s="2078"/>
      <c r="O154" s="2078"/>
      <c r="P154" s="2079" t="s">
        <v>3759</v>
      </c>
      <c r="Q154" s="2080"/>
      <c r="R154" s="2081"/>
      <c r="S154" s="2082"/>
    </row>
    <row r="155" spans="1:24" s="1142" customFormat="1" ht="13.9" customHeight="1">
      <c r="G155" s="374"/>
      <c r="H155" s="374"/>
      <c r="I155" s="374"/>
      <c r="J155" s="1139"/>
      <c r="K155" s="1139"/>
      <c r="L155" s="1139"/>
      <c r="M155" s="1139"/>
      <c r="P155" s="372"/>
      <c r="Q155" s="389" t="s">
        <v>573</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1919</v>
      </c>
      <c r="B157" s="405"/>
      <c r="C157" s="391" t="s">
        <v>609</v>
      </c>
      <c r="N157" s="391" t="s">
        <v>564</v>
      </c>
      <c r="O157" s="391" t="s">
        <v>82</v>
      </c>
    </row>
    <row r="158" spans="1:24" ht="3.6" customHeight="1">
      <c r="B158" s="405"/>
    </row>
    <row r="159" spans="1:24" ht="192.75" customHeight="1">
      <c r="A159" s="1796"/>
      <c r="B159" s="1797"/>
      <c r="C159" s="1797"/>
      <c r="D159" s="1797"/>
      <c r="E159" s="1797"/>
      <c r="F159" s="1797"/>
      <c r="G159" s="1797"/>
      <c r="H159" s="1797"/>
      <c r="I159" s="1797"/>
      <c r="J159" s="1797"/>
      <c r="K159" s="1797"/>
      <c r="L159" s="1797"/>
      <c r="M159" s="1798"/>
      <c r="N159" s="1799"/>
      <c r="O159" s="1800"/>
      <c r="P159" s="1800"/>
      <c r="Q159" s="1800"/>
      <c r="R159" s="1800"/>
      <c r="S159" s="1801"/>
      <c r="T159" s="1181" t="s">
        <v>2925</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3" t="s">
        <v>1924</v>
      </c>
    </row>
    <row r="165" spans="1:16" s="362" customFormat="1" ht="12" customHeight="1">
      <c r="A165" s="406"/>
      <c r="B165" s="382"/>
      <c r="C165" s="382"/>
      <c r="D165" s="382"/>
      <c r="E165" s="382"/>
      <c r="F165" s="382"/>
      <c r="G165" s="382"/>
      <c r="H165" s="382"/>
      <c r="I165" s="382"/>
      <c r="J165" s="382"/>
      <c r="K165" s="382"/>
      <c r="L165" s="382"/>
      <c r="M165" s="382"/>
      <c r="N165" s="382"/>
      <c r="O165" s="382"/>
      <c r="P165" s="2084" t="s">
        <v>893</v>
      </c>
    </row>
    <row r="166" spans="1:16" s="362" customFormat="1" ht="12" customHeight="1">
      <c r="A166" s="406"/>
      <c r="B166" s="382"/>
      <c r="C166" s="382"/>
      <c r="D166" s="382"/>
      <c r="E166" s="382"/>
      <c r="F166" s="382"/>
      <c r="G166" s="382"/>
      <c r="H166" s="382"/>
      <c r="I166" s="382"/>
      <c r="J166" s="382"/>
      <c r="K166" s="382"/>
      <c r="L166" s="382"/>
      <c r="M166" s="382"/>
      <c r="N166" s="382"/>
      <c r="O166" s="382"/>
      <c r="P166" s="2084" t="s">
        <v>894</v>
      </c>
    </row>
    <row r="167" spans="1:16" s="362" customFormat="1" ht="12" customHeight="1">
      <c r="A167" s="406"/>
      <c r="B167" s="382"/>
      <c r="C167" s="382"/>
      <c r="D167" s="382"/>
      <c r="E167" s="382"/>
      <c r="F167" s="382"/>
      <c r="G167" s="382"/>
      <c r="H167" s="382"/>
      <c r="I167" s="382"/>
      <c r="J167" s="382"/>
      <c r="K167" s="382"/>
      <c r="L167" s="382"/>
      <c r="M167" s="382"/>
      <c r="N167" s="382"/>
      <c r="O167" s="382"/>
      <c r="P167" s="2084" t="s">
        <v>895</v>
      </c>
    </row>
    <row r="168" spans="1:16" s="362" customFormat="1" ht="12" customHeight="1">
      <c r="A168" s="620"/>
      <c r="B168" s="382"/>
      <c r="C168" s="382"/>
      <c r="D168" s="382"/>
      <c r="E168" s="382"/>
      <c r="F168" s="382"/>
      <c r="G168" s="382"/>
      <c r="H168" s="382"/>
      <c r="I168" s="382"/>
      <c r="J168" s="382"/>
      <c r="K168" s="382"/>
      <c r="L168" s="382"/>
      <c r="M168" s="382"/>
      <c r="N168" s="382"/>
      <c r="O168" s="382"/>
      <c r="P168" s="2084" t="s">
        <v>896</v>
      </c>
    </row>
    <row r="169" spans="1:16" s="362" customFormat="1" ht="12" customHeight="1">
      <c r="B169" s="382"/>
      <c r="C169" s="382"/>
      <c r="D169" s="382"/>
      <c r="E169" s="382"/>
      <c r="F169" s="382"/>
      <c r="G169" s="382"/>
      <c r="H169" s="382"/>
      <c r="I169" s="382"/>
      <c r="J169" s="382"/>
      <c r="K169" s="382"/>
      <c r="L169" s="382"/>
      <c r="M169" s="382"/>
      <c r="N169" s="382"/>
      <c r="O169" s="382"/>
      <c r="P169" s="2084" t="s">
        <v>897</v>
      </c>
    </row>
    <row r="170" spans="1:16" s="362" customFormat="1" ht="12" customHeight="1">
      <c r="B170" s="382"/>
      <c r="C170" s="382"/>
      <c r="D170" s="382"/>
      <c r="E170" s="382"/>
      <c r="F170" s="382"/>
      <c r="G170" s="382"/>
      <c r="H170" s="382"/>
      <c r="I170" s="382"/>
      <c r="J170" s="382"/>
      <c r="K170" s="382"/>
      <c r="L170" s="382"/>
      <c r="M170" s="382"/>
      <c r="N170" s="382"/>
      <c r="O170" s="382"/>
      <c r="P170" s="2084" t="s">
        <v>898</v>
      </c>
    </row>
    <row r="171" spans="1:16" s="362" customFormat="1" ht="12" customHeight="1">
      <c r="B171" s="382"/>
      <c r="C171" s="382"/>
      <c r="D171" s="382"/>
      <c r="E171" s="382"/>
      <c r="F171" s="382"/>
      <c r="G171" s="382"/>
      <c r="H171" s="382"/>
      <c r="I171" s="382"/>
      <c r="J171" s="382"/>
      <c r="K171" s="382"/>
      <c r="L171" s="382"/>
      <c r="M171" s="382"/>
      <c r="N171" s="382"/>
      <c r="O171" s="382"/>
      <c r="P171" s="2084" t="s">
        <v>899</v>
      </c>
    </row>
    <row r="172" spans="1:16" s="362" customFormat="1" ht="12" customHeight="1">
      <c r="B172" s="382"/>
      <c r="C172" s="382"/>
      <c r="D172" s="382"/>
      <c r="E172" s="382"/>
      <c r="F172" s="382"/>
      <c r="G172" s="382"/>
      <c r="H172" s="382"/>
      <c r="I172" s="382"/>
      <c r="J172" s="382"/>
      <c r="K172" s="382"/>
      <c r="L172" s="382"/>
      <c r="M172" s="382"/>
      <c r="N172" s="382"/>
      <c r="O172" s="382"/>
      <c r="P172" s="2084" t="s">
        <v>900</v>
      </c>
    </row>
    <row r="173" spans="1:16" ht="12" customHeight="1">
      <c r="P173" s="2084" t="s">
        <v>901</v>
      </c>
    </row>
    <row r="174" spans="1:16" ht="12" customHeight="1">
      <c r="A174" s="391"/>
      <c r="P174" s="2084" t="s">
        <v>902</v>
      </c>
    </row>
    <row r="175" spans="1:16" ht="12" customHeight="1">
      <c r="P175" s="2084" t="s">
        <v>903</v>
      </c>
    </row>
    <row r="176" spans="1:16" ht="12" customHeight="1">
      <c r="P176" s="2084" t="s">
        <v>904</v>
      </c>
    </row>
    <row r="177" spans="16:16" ht="12" customHeight="1">
      <c r="P177" s="2084" t="s">
        <v>905</v>
      </c>
    </row>
    <row r="178" spans="16:16" ht="12" customHeight="1">
      <c r="P178" s="2084" t="s">
        <v>906</v>
      </c>
    </row>
    <row r="179" spans="16:16" ht="12" customHeight="1">
      <c r="P179" s="2084" t="s">
        <v>907</v>
      </c>
    </row>
    <row r="180" spans="16:16" ht="12" customHeight="1">
      <c r="P180" s="2084" t="s">
        <v>908</v>
      </c>
    </row>
    <row r="181" spans="16:16" ht="12" customHeight="1">
      <c r="P181" s="2084" t="s">
        <v>909</v>
      </c>
    </row>
    <row r="182" spans="16:16" ht="12" customHeight="1">
      <c r="P182" s="2084" t="s">
        <v>910</v>
      </c>
    </row>
    <row r="183" spans="16:16" ht="12" customHeight="1">
      <c r="P183" s="2084" t="s">
        <v>911</v>
      </c>
    </row>
    <row r="184" spans="16:16" ht="12" customHeight="1">
      <c r="P184" s="2084" t="s">
        <v>912</v>
      </c>
    </row>
    <row r="185" spans="16:16" ht="12" customHeight="1">
      <c r="P185" s="2084" t="s">
        <v>913</v>
      </c>
    </row>
    <row r="186" spans="16:16" ht="12" customHeight="1">
      <c r="P186" s="2084" t="s">
        <v>914</v>
      </c>
    </row>
    <row r="187" spans="16:16" ht="12" customHeight="1">
      <c r="P187" s="2084" t="s">
        <v>915</v>
      </c>
    </row>
    <row r="188" spans="16:16" ht="12" customHeight="1">
      <c r="P188" s="2084" t="s">
        <v>916</v>
      </c>
    </row>
    <row r="189" spans="16:16" ht="12" customHeight="1">
      <c r="P189" s="2084" t="s">
        <v>917</v>
      </c>
    </row>
    <row r="190" spans="16:16" ht="12" customHeight="1">
      <c r="P190" s="2084" t="s">
        <v>1429</v>
      </c>
    </row>
    <row r="191" spans="16:16" ht="12" customHeight="1">
      <c r="P191" s="2084" t="s">
        <v>1430</v>
      </c>
    </row>
    <row r="192" spans="16:16" ht="12" customHeight="1">
      <c r="P192" s="2084" t="s">
        <v>1431</v>
      </c>
    </row>
    <row r="193" spans="16:16" ht="12" customHeight="1">
      <c r="P193" s="2084" t="s">
        <v>1432</v>
      </c>
    </row>
    <row r="194" spans="16:16" ht="12" customHeight="1">
      <c r="P194" s="2084" t="s">
        <v>1433</v>
      </c>
    </row>
    <row r="195" spans="16:16" ht="13.5">
      <c r="P195" s="2084" t="s">
        <v>1434</v>
      </c>
    </row>
    <row r="196" spans="16:16" ht="12" customHeight="1">
      <c r="P196" s="2084" t="s">
        <v>1435</v>
      </c>
    </row>
    <row r="197" spans="16:16" ht="12" customHeight="1">
      <c r="P197" s="2084" t="s">
        <v>1436</v>
      </c>
    </row>
    <row r="198" spans="16:16" ht="12" customHeight="1">
      <c r="P198" s="2084" t="s">
        <v>1437</v>
      </c>
    </row>
    <row r="199" spans="16:16" ht="12" customHeight="1">
      <c r="P199" s="2084" t="s">
        <v>1438</v>
      </c>
    </row>
    <row r="200" spans="16:16" ht="12" customHeight="1">
      <c r="P200" s="2084" t="s">
        <v>1439</v>
      </c>
    </row>
    <row r="201" spans="16:16" ht="12" customHeight="1">
      <c r="P201" s="2084" t="s">
        <v>1440</v>
      </c>
    </row>
    <row r="202" spans="16:16" ht="12" customHeight="1">
      <c r="P202" s="2084" t="s">
        <v>1441</v>
      </c>
    </row>
    <row r="203" spans="16:16" ht="12" customHeight="1">
      <c r="P203" s="2084" t="s">
        <v>1442</v>
      </c>
    </row>
    <row r="204" spans="16:16" ht="12" customHeight="1">
      <c r="P204" s="2084" t="s">
        <v>1443</v>
      </c>
    </row>
    <row r="205" spans="16:16" ht="12" customHeight="1">
      <c r="P205" s="2084" t="s">
        <v>1444</v>
      </c>
    </row>
    <row r="206" spans="16:16" ht="12" customHeight="1">
      <c r="P206" s="2084" t="s">
        <v>1445</v>
      </c>
    </row>
    <row r="207" spans="16:16" ht="12" customHeight="1">
      <c r="P207" s="2084" t="s">
        <v>1446</v>
      </c>
    </row>
    <row r="208" spans="16:16" ht="12" customHeight="1">
      <c r="P208" s="2084" t="s">
        <v>1447</v>
      </c>
    </row>
    <row r="209" spans="16:16" ht="12" customHeight="1">
      <c r="P209" s="2084" t="s">
        <v>1448</v>
      </c>
    </row>
    <row r="210" spans="16:16" ht="12" customHeight="1">
      <c r="P210" s="2084" t="s">
        <v>1449</v>
      </c>
    </row>
    <row r="211" spans="16:16" ht="12" customHeight="1">
      <c r="P211" s="2084" t="s">
        <v>1450</v>
      </c>
    </row>
    <row r="212" spans="16:16" ht="12" customHeight="1">
      <c r="P212" s="2084" t="s">
        <v>1451</v>
      </c>
    </row>
    <row r="213" spans="16:16" ht="12" customHeight="1">
      <c r="P213" s="2084" t="s">
        <v>1452</v>
      </c>
    </row>
    <row r="214" spans="16:16" ht="12" customHeight="1">
      <c r="P214" s="2084" t="s">
        <v>1453</v>
      </c>
    </row>
    <row r="215" spans="16:16" ht="12" customHeight="1">
      <c r="P215" s="2084" t="s">
        <v>1454</v>
      </c>
    </row>
  </sheetData>
  <sheetProtection password="B388"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0" t="str">
        <f>CONCATENATE("PART THREE - SOURCES OF FUNDS","  -  ",'Part I-Project Information'!$O$4," ",'Part I-Project Information'!$F$23,", ",'Part I-Project Information'!$F$27,", ",'Part I-Project Information'!$J$28," County")</f>
        <v>PART THREE - SOURCES OF FUNDS  -  2014-051 Macon Gardens, Macon, Bibb County</v>
      </c>
      <c r="B1" s="1231"/>
      <c r="C1" s="1231"/>
      <c r="D1" s="1231"/>
      <c r="E1" s="1231"/>
      <c r="F1" s="1231"/>
      <c r="G1" s="1231"/>
      <c r="H1" s="1231"/>
      <c r="I1" s="1231"/>
      <c r="J1" s="1231"/>
      <c r="K1" s="1231"/>
      <c r="L1" s="1231"/>
      <c r="M1" s="1231"/>
      <c r="N1" s="1231"/>
      <c r="O1" s="1231"/>
      <c r="P1" s="1231"/>
      <c r="Q1" s="1232"/>
      <c r="S1" s="1287" t="str">
        <f>$A$1</f>
        <v>PART THREE - SOURCES OF FUNDS  -  2014-051 Macon Gardens, Macon, Bibb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658</v>
      </c>
      <c r="B3" s="385" t="s">
        <v>2660</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t="s">
        <v>3702</v>
      </c>
      <c r="I4" s="1134" t="s">
        <v>3233</v>
      </c>
      <c r="J4" s="362"/>
      <c r="P4" s="2085"/>
      <c r="Q4" s="2086"/>
      <c r="S4" s="1275" t="s">
        <v>2893</v>
      </c>
      <c r="T4" s="1275"/>
    </row>
    <row r="5" spans="1:20" s="330" customFormat="1" ht="15.75" customHeight="1">
      <c r="A5" s="620"/>
      <c r="B5" s="1964" t="s">
        <v>3705</v>
      </c>
      <c r="C5" s="1134" t="s">
        <v>2574</v>
      </c>
      <c r="D5" s="362"/>
      <c r="E5" s="1964" t="s">
        <v>3702</v>
      </c>
      <c r="F5" s="1134" t="s">
        <v>585</v>
      </c>
      <c r="H5" s="1964" t="s">
        <v>3702</v>
      </c>
      <c r="I5" s="362" t="s">
        <v>2794</v>
      </c>
      <c r="M5" s="1964" t="s">
        <v>3705</v>
      </c>
      <c r="N5" s="1134" t="s">
        <v>583</v>
      </c>
      <c r="S5" s="2087"/>
      <c r="T5" s="2088"/>
    </row>
    <row r="6" spans="1:20" s="330" customFormat="1" ht="15.75" customHeight="1">
      <c r="A6" s="620"/>
      <c r="B6" s="1964" t="s">
        <v>3702</v>
      </c>
      <c r="C6" s="1134" t="s">
        <v>1929</v>
      </c>
      <c r="D6" s="362"/>
      <c r="E6" s="1964" t="s">
        <v>3702</v>
      </c>
      <c r="F6" s="362" t="s">
        <v>2792</v>
      </c>
      <c r="H6" s="1964" t="s">
        <v>3702</v>
      </c>
      <c r="I6" s="368" t="s">
        <v>3251</v>
      </c>
      <c r="J6" s="1134"/>
      <c r="K6" s="355"/>
      <c r="L6" s="355"/>
      <c r="M6" s="1964" t="s">
        <v>3705</v>
      </c>
      <c r="N6" s="368" t="s">
        <v>2793</v>
      </c>
      <c r="Q6" s="655"/>
      <c r="S6" s="2089"/>
      <c r="T6" s="2090"/>
    </row>
    <row r="7" spans="1:20" s="330" customFormat="1" ht="15.75" customHeight="1">
      <c r="A7" s="362"/>
      <c r="B7" s="1964" t="s">
        <v>3702</v>
      </c>
      <c r="C7" s="1134" t="s">
        <v>1930</v>
      </c>
      <c r="E7" s="1964" t="s">
        <v>3702</v>
      </c>
      <c r="F7" s="1133" t="s">
        <v>2342</v>
      </c>
      <c r="G7" s="362"/>
      <c r="H7" s="1964" t="s">
        <v>3702</v>
      </c>
      <c r="I7" s="1134" t="s">
        <v>1645</v>
      </c>
      <c r="J7" s="355"/>
      <c r="M7" s="1964" t="s">
        <v>3702</v>
      </c>
      <c r="N7" s="368" t="s">
        <v>3232</v>
      </c>
      <c r="P7" s="2091"/>
      <c r="Q7" s="2092"/>
      <c r="S7" s="2089"/>
      <c r="T7" s="2090"/>
    </row>
    <row r="8" spans="1:20" s="330" customFormat="1" ht="15.75" customHeight="1">
      <c r="A8" s="620"/>
      <c r="B8" s="1964" t="s">
        <v>3702</v>
      </c>
      <c r="C8" s="1142" t="s">
        <v>2784</v>
      </c>
      <c r="D8" s="362"/>
      <c r="E8" s="1964" t="s">
        <v>3702</v>
      </c>
      <c r="F8" s="387" t="s">
        <v>2785</v>
      </c>
      <c r="H8" s="1964" t="s">
        <v>3702</v>
      </c>
      <c r="I8" s="1134" t="s">
        <v>584</v>
      </c>
      <c r="J8" s="355"/>
      <c r="K8" s="368"/>
      <c r="L8" s="1138"/>
      <c r="M8" s="1964" t="s">
        <v>3705</v>
      </c>
      <c r="N8" s="1950" t="s">
        <v>3760</v>
      </c>
      <c r="O8" s="1951"/>
      <c r="P8" s="1951"/>
      <c r="Q8" s="1952"/>
      <c r="S8" s="2093"/>
      <c r="T8" s="2094"/>
    </row>
    <row r="9" spans="1:20" s="330" customFormat="1" ht="16.899999999999999" customHeight="1">
      <c r="A9" s="620"/>
      <c r="B9" s="330" t="s">
        <v>3147</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791</v>
      </c>
      <c r="B11" s="329" t="s">
        <v>2497</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3.9" customHeight="1">
      <c r="A12" s="365"/>
      <c r="B12" s="329"/>
      <c r="C12" s="362"/>
      <c r="K12" s="362"/>
      <c r="L12" s="362"/>
      <c r="M12" s="1142"/>
      <c r="N12" s="1131"/>
      <c r="O12" s="1131"/>
      <c r="P12" s="362"/>
      <c r="Q12" s="362"/>
    </row>
    <row r="13" spans="1:20" s="330" customFormat="1" ht="16.899999999999999" customHeight="1">
      <c r="A13" s="362"/>
      <c r="B13" s="1134" t="s">
        <v>2002</v>
      </c>
      <c r="C13" s="362"/>
      <c r="D13" s="362"/>
      <c r="E13" s="362"/>
      <c r="F13" s="362"/>
      <c r="G13" s="362"/>
      <c r="H13" s="1251" t="s">
        <v>1384</v>
      </c>
      <c r="I13" s="1251"/>
      <c r="J13" s="1251"/>
      <c r="K13" s="1251"/>
      <c r="L13" s="1195" t="s">
        <v>2127</v>
      </c>
      <c r="M13" s="1195"/>
      <c r="N13" s="1195" t="s">
        <v>1614</v>
      </c>
      <c r="O13" s="1195"/>
      <c r="P13" s="1195" t="s">
        <v>1742</v>
      </c>
      <c r="Q13" s="1195"/>
      <c r="S13" s="1275" t="s">
        <v>2893</v>
      </c>
      <c r="T13" s="1275"/>
    </row>
    <row r="14" spans="1:20" s="330" customFormat="1" ht="16.899999999999999" customHeight="1">
      <c r="A14" s="362"/>
      <c r="B14" s="1260" t="s">
        <v>1700</v>
      </c>
      <c r="C14" s="1261"/>
      <c r="D14" s="1261"/>
      <c r="E14" s="1143"/>
      <c r="F14" s="1143"/>
      <c r="G14" s="1143"/>
      <c r="H14" s="1950" t="s">
        <v>3776</v>
      </c>
      <c r="I14" s="1951"/>
      <c r="J14" s="1951"/>
      <c r="K14" s="1952"/>
      <c r="L14" s="2095">
        <v>6200000</v>
      </c>
      <c r="M14" s="2096"/>
      <c r="N14" s="2097">
        <v>3.15E-2</v>
      </c>
      <c r="O14" s="2098"/>
      <c r="P14" s="2099">
        <v>24</v>
      </c>
      <c r="Q14" s="2100"/>
      <c r="S14" s="2087"/>
      <c r="T14" s="2088"/>
    </row>
    <row r="15" spans="1:20" s="330" customFormat="1" ht="16.899999999999999" customHeight="1">
      <c r="A15" s="362"/>
      <c r="B15" s="1258" t="s">
        <v>1701</v>
      </c>
      <c r="C15" s="1259"/>
      <c r="D15" s="1259"/>
      <c r="E15" s="1142"/>
      <c r="F15" s="1142"/>
      <c r="G15" s="1142"/>
      <c r="H15" s="1950"/>
      <c r="I15" s="1951"/>
      <c r="J15" s="1951"/>
      <c r="K15" s="1952"/>
      <c r="L15" s="2095"/>
      <c r="M15" s="2096"/>
      <c r="N15" s="2097"/>
      <c r="O15" s="2098"/>
      <c r="P15" s="2101"/>
      <c r="Q15" s="2102"/>
      <c r="S15" s="2089"/>
      <c r="T15" s="2090"/>
    </row>
    <row r="16" spans="1:20" s="330" customFormat="1" ht="16.899999999999999" customHeight="1">
      <c r="A16" s="362"/>
      <c r="B16" s="1284" t="s">
        <v>1702</v>
      </c>
      <c r="C16" s="1285"/>
      <c r="D16" s="1285"/>
      <c r="E16" s="1145"/>
      <c r="F16" s="1145"/>
      <c r="G16" s="1145"/>
      <c r="H16" s="1950" t="s">
        <v>3716</v>
      </c>
      <c r="I16" s="1951"/>
      <c r="J16" s="1951"/>
      <c r="K16" s="1952"/>
      <c r="L16" s="2095">
        <v>250000</v>
      </c>
      <c r="M16" s="2096"/>
      <c r="N16" s="2097">
        <v>0.01</v>
      </c>
      <c r="O16" s="2098"/>
      <c r="P16" s="2101"/>
      <c r="Q16" s="2102"/>
      <c r="S16" s="2089"/>
      <c r="T16" s="2090"/>
    </row>
    <row r="17" spans="1:20" s="330" customFormat="1" ht="16.899999999999999" customHeight="1">
      <c r="A17" s="362"/>
      <c r="B17" s="1260" t="s">
        <v>2360</v>
      </c>
      <c r="C17" s="1261"/>
      <c r="D17" s="1261"/>
      <c r="E17" s="1142"/>
      <c r="F17" s="1142"/>
      <c r="G17" s="1142"/>
      <c r="H17" s="1950"/>
      <c r="I17" s="1951"/>
      <c r="J17" s="1951"/>
      <c r="K17" s="1952"/>
      <c r="L17" s="2095"/>
      <c r="M17" s="2096"/>
      <c r="N17" s="1269"/>
      <c r="O17" s="1270"/>
      <c r="P17" s="1217"/>
      <c r="Q17" s="1217"/>
      <c r="S17" s="2089"/>
      <c r="T17" s="2090"/>
    </row>
    <row r="18" spans="1:20" s="330" customFormat="1" ht="16.899999999999999" customHeight="1">
      <c r="A18" s="362"/>
      <c r="B18" s="1258" t="s">
        <v>856</v>
      </c>
      <c r="C18" s="1259"/>
      <c r="D18" s="1259"/>
      <c r="E18" s="1142"/>
      <c r="H18" s="1950"/>
      <c r="I18" s="1951"/>
      <c r="J18" s="1951"/>
      <c r="K18" s="1952"/>
      <c r="L18" s="2095"/>
      <c r="M18" s="2096"/>
      <c r="N18" s="1269"/>
      <c r="O18" s="1270"/>
      <c r="P18" s="1217"/>
      <c r="Q18" s="1217"/>
      <c r="S18" s="2089"/>
      <c r="T18" s="2090"/>
    </row>
    <row r="19" spans="1:20" s="330" customFormat="1" ht="16.899999999999999" customHeight="1">
      <c r="A19" s="362"/>
      <c r="B19" s="1258" t="s">
        <v>683</v>
      </c>
      <c r="C19" s="1259"/>
      <c r="D19" s="1259"/>
      <c r="E19" s="1142"/>
      <c r="H19" s="1950" t="s">
        <v>3777</v>
      </c>
      <c r="I19" s="1951"/>
      <c r="J19" s="1951"/>
      <c r="K19" s="1952"/>
      <c r="L19" s="2095"/>
      <c r="M19" s="2096"/>
      <c r="N19" s="1269"/>
      <c r="O19" s="1270"/>
      <c r="P19" s="1217"/>
      <c r="Q19" s="1217"/>
      <c r="S19" s="2089"/>
      <c r="T19" s="2090"/>
    </row>
    <row r="20" spans="1:20" s="330" customFormat="1" ht="16.899999999999999" customHeight="1">
      <c r="A20" s="362"/>
      <c r="B20" s="1258" t="s">
        <v>857</v>
      </c>
      <c r="C20" s="1259"/>
      <c r="D20" s="1259"/>
      <c r="E20" s="1142"/>
      <c r="H20" s="1950" t="s">
        <v>3778</v>
      </c>
      <c r="I20" s="1951"/>
      <c r="J20" s="1951"/>
      <c r="K20" s="1952"/>
      <c r="L20" s="2095">
        <v>2707029</v>
      </c>
      <c r="M20" s="2096"/>
      <c r="N20" s="362"/>
      <c r="O20" s="362"/>
      <c r="P20" s="362"/>
      <c r="Q20" s="362"/>
      <c r="S20" s="2093"/>
      <c r="T20" s="2094"/>
    </row>
    <row r="21" spans="1:20" s="330" customFormat="1" ht="16.899999999999999" customHeight="1">
      <c r="A21" s="362"/>
      <c r="B21" s="1258" t="s">
        <v>858</v>
      </c>
      <c r="C21" s="1259"/>
      <c r="D21" s="1259"/>
      <c r="E21" s="1142"/>
      <c r="H21" s="1950" t="s">
        <v>3778</v>
      </c>
      <c r="I21" s="1951"/>
      <c r="J21" s="1951"/>
      <c r="K21" s="1952"/>
      <c r="L21" s="2095">
        <v>1182380</v>
      </c>
      <c r="M21" s="2096"/>
      <c r="N21" s="362"/>
      <c r="O21" s="362"/>
      <c r="P21" s="362"/>
      <c r="Q21" s="362"/>
      <c r="S21" s="2087"/>
      <c r="T21" s="2088"/>
    </row>
    <row r="22" spans="1:20" s="330" customFormat="1" ht="16.899999999999999" customHeight="1">
      <c r="A22" s="362"/>
      <c r="B22" s="1141" t="s">
        <v>256</v>
      </c>
      <c r="C22" s="1142"/>
      <c r="D22" s="2103"/>
      <c r="E22" s="2103"/>
      <c r="F22" s="2103"/>
      <c r="G22" s="2103"/>
      <c r="H22" s="1950"/>
      <c r="I22" s="1951"/>
      <c r="J22" s="1951"/>
      <c r="K22" s="1952"/>
      <c r="L22" s="2095"/>
      <c r="M22" s="2096"/>
      <c r="N22" s="362"/>
      <c r="O22" s="362"/>
      <c r="P22" s="362"/>
      <c r="Q22" s="362"/>
      <c r="S22" s="2089"/>
      <c r="T22" s="2090"/>
    </row>
    <row r="23" spans="1:20" s="330" customFormat="1" ht="16.899999999999999" customHeight="1">
      <c r="A23" s="362"/>
      <c r="B23" s="1141" t="s">
        <v>256</v>
      </c>
      <c r="C23" s="1142"/>
      <c r="D23" s="2103"/>
      <c r="E23" s="2103"/>
      <c r="F23" s="2103"/>
      <c r="G23" s="2103"/>
      <c r="H23" s="1950"/>
      <c r="I23" s="1951"/>
      <c r="J23" s="1951"/>
      <c r="K23" s="1952"/>
      <c r="L23" s="2095"/>
      <c r="M23" s="2096"/>
      <c r="N23" s="362"/>
      <c r="O23" s="362"/>
      <c r="P23" s="362"/>
      <c r="Q23" s="362"/>
      <c r="S23" s="2089"/>
      <c r="T23" s="2090"/>
    </row>
    <row r="24" spans="1:20" s="330" customFormat="1" ht="16.899999999999999" customHeight="1">
      <c r="A24" s="362"/>
      <c r="B24" s="1144" t="s">
        <v>256</v>
      </c>
      <c r="C24" s="1145"/>
      <c r="D24" s="2103"/>
      <c r="E24" s="2103"/>
      <c r="F24" s="2103"/>
      <c r="G24" s="2103"/>
      <c r="H24" s="1950"/>
      <c r="I24" s="1951"/>
      <c r="J24" s="1951"/>
      <c r="K24" s="1952"/>
      <c r="L24" s="2095"/>
      <c r="M24" s="2096"/>
      <c r="N24" s="362"/>
      <c r="O24" s="362"/>
      <c r="P24" s="362"/>
      <c r="Q24" s="362"/>
      <c r="S24" s="2089"/>
      <c r="T24" s="2090"/>
    </row>
    <row r="25" spans="1:20" s="330" customFormat="1" ht="16.899999999999999" customHeight="1">
      <c r="A25" s="362"/>
      <c r="B25" s="329" t="s">
        <v>1385</v>
      </c>
      <c r="C25" s="362"/>
      <c r="D25" s="362"/>
      <c r="E25" s="362"/>
      <c r="F25" s="362"/>
      <c r="G25" s="362"/>
      <c r="H25" s="362"/>
      <c r="I25" s="362"/>
      <c r="L25" s="1271">
        <f>SUM(L14:L24)</f>
        <v>10339409</v>
      </c>
      <c r="M25" s="1272"/>
      <c r="N25" s="382"/>
      <c r="O25" s="382"/>
      <c r="P25" s="382"/>
      <c r="Q25" s="382"/>
      <c r="S25" s="2089"/>
      <c r="T25" s="2090"/>
    </row>
    <row r="26" spans="1:20" s="330" customFormat="1" ht="16.899999999999999" customHeight="1">
      <c r="A26" s="362"/>
      <c r="B26" s="1134" t="s">
        <v>1386</v>
      </c>
      <c r="C26" s="362"/>
      <c r="D26" s="362"/>
      <c r="E26" s="362"/>
      <c r="F26" s="362"/>
      <c r="G26" s="362"/>
      <c r="H26" s="362"/>
      <c r="I26" s="362"/>
      <c r="L26" s="210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10339409.279999999</v>
      </c>
      <c r="M26" s="2105"/>
      <c r="N26" s="1267"/>
      <c r="O26" s="1268"/>
      <c r="P26" s="1268"/>
      <c r="Q26" s="1268"/>
      <c r="S26" s="2089"/>
      <c r="T26" s="2090"/>
    </row>
    <row r="27" spans="1:20" s="330" customFormat="1" ht="16.899999999999999" customHeight="1">
      <c r="A27" s="362"/>
      <c r="B27" s="368" t="s">
        <v>2296</v>
      </c>
      <c r="C27" s="362"/>
      <c r="D27" s="362"/>
      <c r="E27" s="362"/>
      <c r="F27" s="362"/>
      <c r="G27" s="362"/>
      <c r="H27" s="362"/>
      <c r="I27" s="362"/>
      <c r="L27" s="1273">
        <f>L25-L26</f>
        <v>-0.27999999932944775</v>
      </c>
      <c r="M27" s="1274"/>
      <c r="N27" s="1267"/>
      <c r="O27" s="1268"/>
      <c r="P27" s="1268"/>
      <c r="Q27" s="1268"/>
      <c r="S27" s="2093"/>
      <c r="T27" s="2094"/>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793</v>
      </c>
      <c r="B29" s="329" t="s">
        <v>855</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17"/>
      <c r="I30" s="1217"/>
      <c r="J30" s="442" t="s">
        <v>2238</v>
      </c>
      <c r="K30" s="1139" t="s">
        <v>1382</v>
      </c>
      <c r="L30" s="1139" t="s">
        <v>1387</v>
      </c>
      <c r="M30" s="1209" t="s">
        <v>36</v>
      </c>
      <c r="N30" s="1209"/>
      <c r="O30" s="1131"/>
      <c r="P30" s="1139"/>
      <c r="Q30" s="1276" t="s">
        <v>2494</v>
      </c>
      <c r="S30" s="415"/>
    </row>
    <row r="31" spans="1:20" s="330" customFormat="1" ht="13.15" customHeight="1">
      <c r="A31" s="362"/>
      <c r="B31" s="1137" t="s">
        <v>2002</v>
      </c>
      <c r="C31" s="1145"/>
      <c r="D31" s="1145"/>
      <c r="E31" s="1259" t="s">
        <v>1384</v>
      </c>
      <c r="F31" s="1259"/>
      <c r="G31" s="1259"/>
      <c r="H31" s="1195" t="s">
        <v>520</v>
      </c>
      <c r="I31" s="1195"/>
      <c r="J31" s="1135" t="s">
        <v>1934</v>
      </c>
      <c r="K31" s="1135" t="s">
        <v>2359</v>
      </c>
      <c r="L31" s="1135" t="s">
        <v>2359</v>
      </c>
      <c r="M31" s="2106"/>
      <c r="N31" s="2106"/>
      <c r="O31" s="1195" t="s">
        <v>77</v>
      </c>
      <c r="P31" s="1195"/>
      <c r="Q31" s="1277"/>
      <c r="S31" s="1275" t="s">
        <v>2893</v>
      </c>
      <c r="T31" s="1275"/>
    </row>
    <row r="32" spans="1:20" s="330" customFormat="1" ht="13.15" customHeight="1">
      <c r="A32" s="362"/>
      <c r="B32" s="1260" t="s">
        <v>2799</v>
      </c>
      <c r="C32" s="1261"/>
      <c r="D32" s="1261"/>
      <c r="E32" s="1974" t="s">
        <v>3776</v>
      </c>
      <c r="F32" s="2107"/>
      <c r="G32" s="2108"/>
      <c r="H32" s="2109">
        <v>3176000</v>
      </c>
      <c r="I32" s="2110"/>
      <c r="J32" s="2111">
        <v>0.06</v>
      </c>
      <c r="K32" s="1964">
        <v>18</v>
      </c>
      <c r="L32" s="1964">
        <v>30</v>
      </c>
      <c r="M32" s="2112">
        <f t="shared" ref="M32:M37" si="0">IF(OR(H32&lt;=0,H32=""),"",IF(O32="Amortizing",-PMT(J32/12,L32*12,H32,0,0)*12,""))</f>
        <v>228500.69614621694</v>
      </c>
      <c r="N32" s="2113"/>
      <c r="O32" s="1946" t="s">
        <v>3782</v>
      </c>
      <c r="P32" s="1947"/>
      <c r="Q32" s="2114"/>
      <c r="S32" s="2087"/>
      <c r="T32" s="2088"/>
    </row>
    <row r="33" spans="1:20" s="330" customFormat="1" ht="13.15" customHeight="1">
      <c r="A33" s="362"/>
      <c r="B33" s="1258" t="s">
        <v>2800</v>
      </c>
      <c r="C33" s="1259"/>
      <c r="D33" s="1259"/>
      <c r="E33" s="1955"/>
      <c r="F33" s="2115"/>
      <c r="G33" s="2116"/>
      <c r="H33" s="2117"/>
      <c r="I33" s="2110"/>
      <c r="J33" s="2111"/>
      <c r="K33" s="1964"/>
      <c r="L33" s="1964"/>
      <c r="M33" s="2112" t="str">
        <f t="shared" si="0"/>
        <v/>
      </c>
      <c r="N33" s="2113"/>
      <c r="O33" s="1946"/>
      <c r="P33" s="1947"/>
      <c r="Q33" s="2114"/>
      <c r="S33" s="2089"/>
      <c r="T33" s="2090"/>
    </row>
    <row r="34" spans="1:20" s="330" customFormat="1" ht="13.15" customHeight="1">
      <c r="A34" s="362"/>
      <c r="B34" s="1258" t="s">
        <v>2801</v>
      </c>
      <c r="C34" s="1259"/>
      <c r="D34" s="1259"/>
      <c r="E34" s="1950"/>
      <c r="F34" s="2118"/>
      <c r="G34" s="2110"/>
      <c r="H34" s="2117"/>
      <c r="I34" s="2110"/>
      <c r="J34" s="2111"/>
      <c r="K34" s="1964"/>
      <c r="L34" s="1964"/>
      <c r="M34" s="2112" t="str">
        <f t="shared" si="0"/>
        <v/>
      </c>
      <c r="N34" s="2113"/>
      <c r="O34" s="1946"/>
      <c r="P34" s="1947"/>
      <c r="Q34" s="2114"/>
      <c r="S34" s="2089"/>
      <c r="T34" s="2090"/>
    </row>
    <row r="35" spans="1:20" s="330" customFormat="1" ht="13.15" customHeight="1">
      <c r="A35" s="362"/>
      <c r="B35" s="1141" t="s">
        <v>792</v>
      </c>
      <c r="C35" s="1974" t="s">
        <v>3775</v>
      </c>
      <c r="D35" s="1976"/>
      <c r="E35" s="1950" t="s">
        <v>3716</v>
      </c>
      <c r="F35" s="2118"/>
      <c r="G35" s="2110"/>
      <c r="H35" s="2117">
        <v>250000</v>
      </c>
      <c r="I35" s="2110"/>
      <c r="J35" s="2111">
        <v>0.01</v>
      </c>
      <c r="K35" s="1964">
        <v>30</v>
      </c>
      <c r="L35" s="1964">
        <v>30</v>
      </c>
      <c r="M35" s="2112">
        <f t="shared" si="0"/>
        <v>9649.1856133941019</v>
      </c>
      <c r="N35" s="2113"/>
      <c r="O35" s="1946" t="s">
        <v>3782</v>
      </c>
      <c r="P35" s="1947"/>
      <c r="Q35" s="2114"/>
      <c r="S35" s="2089"/>
      <c r="T35" s="2090"/>
    </row>
    <row r="36" spans="1:20" s="330" customFormat="1" ht="13.15" customHeight="1">
      <c r="A36" s="362"/>
      <c r="B36" s="1141" t="s">
        <v>3023</v>
      </c>
      <c r="C36" s="1142"/>
      <c r="D36" s="1146"/>
      <c r="E36" s="1950"/>
      <c r="F36" s="2118"/>
      <c r="G36" s="2110"/>
      <c r="H36" s="2117"/>
      <c r="I36" s="2110"/>
      <c r="J36" s="588"/>
      <c r="K36" s="1147"/>
      <c r="L36" s="1147"/>
      <c r="M36" s="1262" t="str">
        <f t="shared" si="0"/>
        <v/>
      </c>
      <c r="N36" s="1262"/>
      <c r="O36" s="1257"/>
      <c r="P36" s="1257"/>
      <c r="Q36" s="589"/>
      <c r="S36" s="2089"/>
      <c r="T36" s="2090"/>
    </row>
    <row r="37" spans="1:20" s="330" customFormat="1" ht="13.15" customHeight="1">
      <c r="A37" s="362"/>
      <c r="B37" s="1144" t="s">
        <v>240</v>
      </c>
      <c r="C37" s="1145"/>
      <c r="D37" s="443">
        <f>IF(OR(H37="",H37=0,'Part IV-Uses of Funds'!$G$116="",'Part IV-Uses of Funds'!$G$116=0),"",H37/'Part IV-Uses of Funds'!$G$116)</f>
        <v>3.3224442896026649E-2</v>
      </c>
      <c r="E37" s="1950" t="s">
        <v>3777</v>
      </c>
      <c r="F37" s="2118"/>
      <c r="G37" s="2110"/>
      <c r="H37" s="2117">
        <v>55979</v>
      </c>
      <c r="I37" s="2110"/>
      <c r="J37" s="2111"/>
      <c r="K37" s="1964"/>
      <c r="L37" s="1964"/>
      <c r="M37" s="2112" t="str">
        <f t="shared" si="0"/>
        <v/>
      </c>
      <c r="N37" s="2113"/>
      <c r="O37" s="1946"/>
      <c r="P37" s="1947"/>
      <c r="Q37" s="2114"/>
      <c r="S37" s="2089"/>
      <c r="T37" s="2090"/>
    </row>
    <row r="38" spans="1:20" s="330" customFormat="1" ht="13.15" customHeight="1">
      <c r="A38" s="362"/>
      <c r="B38" s="1260" t="s">
        <v>2360</v>
      </c>
      <c r="C38" s="1261"/>
      <c r="D38" s="1263"/>
      <c r="E38" s="1950"/>
      <c r="F38" s="2118"/>
      <c r="G38" s="2110"/>
      <c r="H38" s="2119"/>
      <c r="I38" s="2120"/>
      <c r="K38" s="444"/>
      <c r="L38" s="444"/>
      <c r="M38" s="444"/>
      <c r="N38" s="444"/>
      <c r="O38" s="444"/>
      <c r="P38" s="444"/>
      <c r="Q38" s="444"/>
      <c r="S38" s="2087"/>
      <c r="T38" s="2088"/>
    </row>
    <row r="39" spans="1:20" s="330" customFormat="1" ht="13.15" customHeight="1">
      <c r="A39" s="362"/>
      <c r="B39" s="1258" t="s">
        <v>856</v>
      </c>
      <c r="C39" s="1259"/>
      <c r="D39" s="1264"/>
      <c r="E39" s="1950"/>
      <c r="F39" s="2118"/>
      <c r="G39" s="2110"/>
      <c r="H39" s="2119"/>
      <c r="I39" s="2120"/>
      <c r="J39" s="1280" t="s">
        <v>551</v>
      </c>
      <c r="K39" s="1281"/>
      <c r="L39" s="1279" t="s">
        <v>552</v>
      </c>
      <c r="M39" s="1279"/>
      <c r="O39" s="490" t="s">
        <v>550</v>
      </c>
      <c r="P39" s="445"/>
      <c r="Q39" s="444"/>
      <c r="S39" s="2089"/>
      <c r="T39" s="2090"/>
    </row>
    <row r="40" spans="1:20" s="330" customFormat="1" ht="13.15" customHeight="1">
      <c r="A40" s="362"/>
      <c r="B40" s="1258" t="s">
        <v>857</v>
      </c>
      <c r="C40" s="1259"/>
      <c r="D40" s="1264"/>
      <c r="E40" s="1950" t="s">
        <v>3778</v>
      </c>
      <c r="F40" s="1951"/>
      <c r="G40" s="1952"/>
      <c r="H40" s="2117">
        <v>6953185</v>
      </c>
      <c r="I40" s="2121"/>
      <c r="J40" s="1282">
        <f>'Part IV-Uses of Funds'!$J$173*10*'Part IV-Uses of Funds'!$N$166</f>
        <v>6953879.5499999998</v>
      </c>
      <c r="K40" s="1283"/>
      <c r="L40" s="1278">
        <f>H40-J40</f>
        <v>-694.54999999981374</v>
      </c>
      <c r="M40" s="1278"/>
      <c r="O40" s="491" t="s">
        <v>2743</v>
      </c>
      <c r="P40" s="445"/>
      <c r="Q40" s="444"/>
      <c r="S40" s="2089"/>
      <c r="T40" s="2090"/>
    </row>
    <row r="41" spans="1:20" s="330" customFormat="1" ht="13.15" customHeight="1">
      <c r="A41" s="362"/>
      <c r="B41" s="1258" t="s">
        <v>858</v>
      </c>
      <c r="C41" s="1259"/>
      <c r="D41" s="1264"/>
      <c r="E41" s="1950" t="s">
        <v>3778</v>
      </c>
      <c r="F41" s="1951"/>
      <c r="G41" s="1952"/>
      <c r="H41" s="2117">
        <v>3037327</v>
      </c>
      <c r="I41" s="2121"/>
      <c r="J41" s="1282">
        <f>'Part IV-Uses of Funds'!$J$173*10*'Part IV-Uses of Funds'!$Q$166</f>
        <v>3037326.7</v>
      </c>
      <c r="K41" s="1283"/>
      <c r="L41" s="1278">
        <f>H41-J41</f>
        <v>0.29999999981373549</v>
      </c>
      <c r="M41" s="1278"/>
      <c r="O41" s="492">
        <f>H40/H50</f>
        <v>0.51610240492032733</v>
      </c>
      <c r="P41" s="445"/>
      <c r="Q41" s="444"/>
      <c r="S41" s="2089"/>
      <c r="T41" s="2090"/>
    </row>
    <row r="42" spans="1:20" s="330" customFormat="1" ht="13.15" customHeight="1">
      <c r="A42" s="362"/>
      <c r="B42" s="1258" t="s">
        <v>1503</v>
      </c>
      <c r="C42" s="1259"/>
      <c r="D42" s="1264"/>
      <c r="E42" s="1950"/>
      <c r="F42" s="1951"/>
      <c r="G42" s="1952"/>
      <c r="H42" s="2117"/>
      <c r="I42" s="2121"/>
      <c r="M42" s="445"/>
      <c r="O42" s="492">
        <f>H41/H50</f>
        <v>0.22544657868724088</v>
      </c>
      <c r="P42" s="445"/>
      <c r="Q42" s="444"/>
      <c r="S42" s="2093"/>
      <c r="T42" s="2094"/>
    </row>
    <row r="43" spans="1:20" s="330" customFormat="1" ht="13.15" customHeight="1">
      <c r="A43" s="362"/>
      <c r="B43" s="1141" t="s">
        <v>565</v>
      </c>
      <c r="C43" s="1142"/>
      <c r="D43" s="1146"/>
      <c r="E43" s="1950"/>
      <c r="F43" s="1951"/>
      <c r="G43" s="1952"/>
      <c r="H43" s="2117"/>
      <c r="I43" s="2121"/>
      <c r="K43" s="362"/>
      <c r="L43" s="362"/>
      <c r="M43" s="445"/>
      <c r="O43" s="493">
        <f>SUM(O41:O42)</f>
        <v>0.74154898360756816</v>
      </c>
      <c r="P43" s="445"/>
      <c r="Q43" s="444"/>
      <c r="S43" s="2089"/>
      <c r="T43" s="2090"/>
    </row>
    <row r="44" spans="1:20" s="330" customFormat="1" ht="13.15" customHeight="1">
      <c r="A44" s="362"/>
      <c r="B44" s="1141" t="s">
        <v>2000</v>
      </c>
      <c r="C44" s="1142"/>
      <c r="D44" s="1146"/>
      <c r="E44" s="1950"/>
      <c r="F44" s="1951"/>
      <c r="G44" s="1952"/>
      <c r="H44" s="2117"/>
      <c r="I44" s="2121"/>
      <c r="J44" s="362"/>
      <c r="M44" s="445"/>
      <c r="N44" s="445"/>
      <c r="O44" s="445"/>
      <c r="P44" s="445"/>
      <c r="Q44" s="444"/>
      <c r="S44" s="2089"/>
      <c r="T44" s="2090"/>
    </row>
    <row r="45" spans="1:20" s="330" customFormat="1" ht="13.15" customHeight="1">
      <c r="A45" s="362"/>
      <c r="B45" s="1141" t="s">
        <v>2001</v>
      </c>
      <c r="C45" s="1142"/>
      <c r="D45" s="1146"/>
      <c r="E45" s="1950"/>
      <c r="F45" s="1951"/>
      <c r="G45" s="1952"/>
      <c r="H45" s="2117"/>
      <c r="I45" s="2121"/>
      <c r="J45" s="362"/>
      <c r="M45" s="445"/>
      <c r="N45" s="445"/>
      <c r="O45" s="445"/>
      <c r="P45" s="445"/>
      <c r="Q45" s="444"/>
      <c r="S45" s="2089"/>
      <c r="T45" s="2090"/>
    </row>
    <row r="46" spans="1:20" s="330" customFormat="1" ht="13.15" customHeight="1">
      <c r="A46" s="362"/>
      <c r="B46" s="1141" t="s">
        <v>792</v>
      </c>
      <c r="C46" s="1950"/>
      <c r="D46" s="1952"/>
      <c r="E46" s="1950"/>
      <c r="F46" s="1951"/>
      <c r="G46" s="1952"/>
      <c r="H46" s="2117"/>
      <c r="I46" s="2121"/>
      <c r="J46" s="362"/>
      <c r="M46" s="445"/>
      <c r="N46" s="445"/>
      <c r="O46" s="445"/>
      <c r="P46" s="445"/>
      <c r="Q46" s="444"/>
      <c r="S46" s="2089"/>
      <c r="T46" s="2090"/>
    </row>
    <row r="47" spans="1:20" s="330" customFormat="1" ht="13.15" customHeight="1">
      <c r="A47" s="362"/>
      <c r="B47" s="1141" t="s">
        <v>792</v>
      </c>
      <c r="C47" s="1950"/>
      <c r="D47" s="1952"/>
      <c r="E47" s="1950"/>
      <c r="F47" s="1951"/>
      <c r="G47" s="1952"/>
      <c r="H47" s="2117"/>
      <c r="I47" s="2121"/>
      <c r="J47" s="362"/>
      <c r="K47" s="362"/>
      <c r="L47" s="446"/>
      <c r="M47" s="445"/>
      <c r="N47" s="445"/>
      <c r="O47" s="445"/>
      <c r="P47" s="445"/>
      <c r="Q47" s="444"/>
      <c r="S47" s="2089"/>
      <c r="T47" s="2090"/>
    </row>
    <row r="48" spans="1:20" s="330" customFormat="1" ht="13.15" customHeight="1">
      <c r="A48" s="362"/>
      <c r="B48" s="1144" t="s">
        <v>792</v>
      </c>
      <c r="C48" s="1950"/>
      <c r="D48" s="1952"/>
      <c r="E48" s="1950"/>
      <c r="F48" s="1951"/>
      <c r="G48" s="1952"/>
      <c r="H48" s="2117"/>
      <c r="I48" s="2121"/>
      <c r="J48" s="362"/>
      <c r="K48" s="362"/>
      <c r="L48" s="446"/>
      <c r="M48" s="445"/>
      <c r="N48" s="445"/>
      <c r="O48" s="445"/>
      <c r="P48" s="445"/>
      <c r="Q48" s="444"/>
      <c r="S48" s="2089"/>
      <c r="T48" s="2090"/>
    </row>
    <row r="49" spans="1:23" s="330" customFormat="1" ht="13.15" customHeight="1">
      <c r="A49" s="362"/>
      <c r="B49" s="1134" t="s">
        <v>2361</v>
      </c>
      <c r="C49" s="362"/>
      <c r="D49" s="362"/>
      <c r="E49" s="362"/>
      <c r="F49" s="362"/>
      <c r="G49" s="362"/>
      <c r="H49" s="1255">
        <f>SUM(H32:I48)</f>
        <v>13472491</v>
      </c>
      <c r="I49" s="1256"/>
      <c r="J49" s="382"/>
      <c r="K49" s="362"/>
      <c r="L49" s="446"/>
      <c r="M49" s="445"/>
      <c r="N49" s="445"/>
      <c r="O49" s="445"/>
      <c r="P49" s="445"/>
      <c r="Q49" s="444"/>
      <c r="S49" s="2089"/>
      <c r="T49" s="2090"/>
    </row>
    <row r="50" spans="1:23" s="330" customFormat="1" ht="13.15" customHeight="1" thickBot="1">
      <c r="A50" s="362"/>
      <c r="B50" s="1134" t="s">
        <v>2362</v>
      </c>
      <c r="C50" s="362"/>
      <c r="D50" s="362"/>
      <c r="E50" s="362"/>
      <c r="F50" s="362"/>
      <c r="G50" s="362"/>
      <c r="H50" s="1253">
        <f>'Part IV-Uses of Funds'!$G$130</f>
        <v>13472490.989599999</v>
      </c>
      <c r="I50" s="1254"/>
      <c r="J50" s="382"/>
      <c r="K50" s="362"/>
      <c r="L50" s="446"/>
      <c r="M50" s="445"/>
      <c r="N50" s="445"/>
      <c r="O50" s="445"/>
      <c r="P50" s="445"/>
      <c r="Q50" s="444"/>
      <c r="S50" s="2089"/>
      <c r="T50" s="2090"/>
    </row>
    <row r="51" spans="1:23" s="330" customFormat="1" ht="13.15" customHeight="1" thickBot="1">
      <c r="A51" s="362"/>
      <c r="B51" s="368" t="s">
        <v>1632</v>
      </c>
      <c r="C51" s="362"/>
      <c r="D51" s="362"/>
      <c r="E51" s="362"/>
      <c r="F51" s="362"/>
      <c r="G51" s="362"/>
      <c r="H51" s="1265">
        <f>H49-H50</f>
        <v>1.0400000959634781E-2</v>
      </c>
      <c r="I51" s="1266"/>
      <c r="J51" s="382"/>
      <c r="K51" s="362"/>
      <c r="L51" s="446"/>
      <c r="M51" s="445"/>
      <c r="N51" s="445"/>
      <c r="O51" s="445"/>
      <c r="P51" s="445"/>
      <c r="Q51" s="444"/>
      <c r="S51" s="2093"/>
      <c r="T51" s="2094"/>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22"/>
      <c r="T52" s="2122"/>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1917</v>
      </c>
      <c r="B54" s="365" t="s">
        <v>609</v>
      </c>
      <c r="C54" s="382"/>
      <c r="D54" s="382"/>
      <c r="E54" s="382"/>
      <c r="F54" s="382"/>
      <c r="G54" s="382"/>
      <c r="H54" s="382"/>
      <c r="I54" s="382"/>
      <c r="J54" s="382"/>
      <c r="K54" s="365" t="s">
        <v>1917</v>
      </c>
      <c r="L54" s="365" t="s">
        <v>82</v>
      </c>
      <c r="M54" s="382"/>
      <c r="N54" s="382"/>
      <c r="O54" s="382"/>
      <c r="P54" s="382"/>
      <c r="Q54" s="382"/>
    </row>
    <row r="55" spans="1:23" ht="5.45" customHeight="1">
      <c r="B55" s="417"/>
    </row>
    <row r="56" spans="1:23" ht="109.5" customHeight="1">
      <c r="A56" s="1796"/>
      <c r="B56" s="2123"/>
      <c r="C56" s="2123"/>
      <c r="D56" s="2123"/>
      <c r="E56" s="2123"/>
      <c r="F56" s="2123"/>
      <c r="G56" s="2123"/>
      <c r="H56" s="2123"/>
      <c r="I56" s="2123"/>
      <c r="J56" s="2124"/>
      <c r="K56" s="1799"/>
      <c r="L56" s="2123"/>
      <c r="M56" s="2123"/>
      <c r="N56" s="2123"/>
      <c r="O56" s="2123"/>
      <c r="P56" s="2123"/>
      <c r="Q56" s="2124"/>
      <c r="S56" s="1286" t="s">
        <v>2925</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0"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8" t="str">
        <f>CONCATENATE("PART III B: USD 538 LOAN","  -  ",'Part I-Project Information'!$O$4," ",'Part I-Project Information'!$F$23,", ",'Part I-Project Information'!$F$27,", ",'Part I-Project Information'!$J$28," County")</f>
        <v>PART III B: USD 538 LOAN  -  2014-051 Macon Gardens, Macon, Bibb County</v>
      </c>
      <c r="B1" s="1289"/>
      <c r="C1" s="1289"/>
      <c r="D1" s="1289"/>
      <c r="E1" s="1289"/>
      <c r="F1" s="1290"/>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7" t="s">
        <v>227</v>
      </c>
      <c r="B3" s="1297"/>
      <c r="C3" s="1297"/>
      <c r="D3" s="1297"/>
      <c r="E3" s="1297"/>
      <c r="F3" s="1297"/>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538</v>
      </c>
      <c r="C6" s="315">
        <v>0</v>
      </c>
      <c r="D6" s="138" t="s">
        <v>539</v>
      </c>
      <c r="E6" s="40"/>
    </row>
    <row r="7" spans="1:17">
      <c r="A7" s="40"/>
      <c r="B7" s="262" t="s">
        <v>2648</v>
      </c>
      <c r="C7" s="316"/>
      <c r="D7" s="138" t="s">
        <v>1777</v>
      </c>
      <c r="E7" s="40"/>
    </row>
    <row r="8" spans="1:17" ht="13.15" customHeight="1">
      <c r="A8" s="40" t="s">
        <v>2636</v>
      </c>
      <c r="B8" s="40"/>
      <c r="C8" s="315">
        <v>0</v>
      </c>
      <c r="D8" s="138" t="s">
        <v>1778</v>
      </c>
      <c r="E8" s="40"/>
    </row>
    <row r="9" spans="1:17">
      <c r="A9" s="40" t="s">
        <v>1476</v>
      </c>
      <c r="B9" s="40"/>
      <c r="C9" s="317"/>
      <c r="D9" s="40"/>
      <c r="E9" s="40"/>
    </row>
    <row r="10" spans="1:17">
      <c r="A10" s="40" t="s">
        <v>1477</v>
      </c>
      <c r="B10" s="40"/>
      <c r="C10" s="317"/>
      <c r="D10" s="40"/>
      <c r="E10" s="40"/>
    </row>
    <row r="11" spans="1:17">
      <c r="A11" s="40" t="s">
        <v>1474</v>
      </c>
      <c r="B11" s="40"/>
      <c r="C11" s="318" t="e">
        <f>PMT(C7/12,C10*12,-C5,0,0)*12</f>
        <v>#NUM!</v>
      </c>
      <c r="D11" s="313" t="e">
        <f>PMT($C$7/12,$C$10*12,-D5,0,0)*12</f>
        <v>#NUM!</v>
      </c>
      <c r="E11" s="313" t="e">
        <f>PMT($C$7/12,$C$10*12,-E5,0,0)*12</f>
        <v>#NUM!</v>
      </c>
    </row>
    <row r="12" spans="1:17">
      <c r="A12" s="40" t="s">
        <v>1475</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8" t="s">
        <v>131</v>
      </c>
      <c r="B14" s="1298"/>
      <c r="C14" s="1298"/>
      <c r="D14" s="1298"/>
      <c r="E14" s="1298"/>
      <c r="F14" s="1298"/>
      <c r="G14" s="239"/>
      <c r="H14" s="239"/>
    </row>
    <row r="15" spans="1:17" ht="5.45" customHeight="1">
      <c r="A15" s="32"/>
      <c r="E15" s="250"/>
      <c r="F15" s="239"/>
      <c r="G15" s="239"/>
      <c r="H15" s="239"/>
    </row>
    <row r="16" spans="1:17" ht="13.15" customHeight="1">
      <c r="A16" s="252" t="s">
        <v>2649</v>
      </c>
      <c r="B16" s="253" t="s">
        <v>2646</v>
      </c>
      <c r="C16" s="253" t="s">
        <v>2647</v>
      </c>
      <c r="D16" s="1294" t="s">
        <v>2403</v>
      </c>
      <c r="E16" s="1294"/>
      <c r="F16" s="239"/>
      <c r="G16" s="239"/>
      <c r="H16" s="239"/>
    </row>
    <row r="17" spans="1:8" ht="12.6" customHeight="1">
      <c r="A17" s="94">
        <v>1</v>
      </c>
      <c r="B17" s="228">
        <f>IF(A17&gt;$C$9,0,SUM(C64:C75)*($C$6/$C$7))</f>
        <v>0</v>
      </c>
      <c r="C17" s="251">
        <f>IF(A17&gt;C9,0,(E63+K63)*$C$8)</f>
        <v>0</v>
      </c>
      <c r="D17" s="1299">
        <f t="shared" ref="D17:D56" si="0">IF(A17&gt;$C$9,0,$C$11+C17)</f>
        <v>0</v>
      </c>
      <c r="E17" s="1299"/>
      <c r="F17" s="239"/>
      <c r="G17" s="239"/>
      <c r="H17" s="239"/>
    </row>
    <row r="18" spans="1:8" ht="12.6" customHeight="1">
      <c r="A18" s="94">
        <v>2</v>
      </c>
      <c r="B18" s="228">
        <f>IF(A18&gt;C9,0,SUM(C76:C87)*($C$6/$C$7))</f>
        <v>0</v>
      </c>
      <c r="C18" s="258">
        <f>IF(A18&gt;C9,0,(E75+K75)*$C$8)</f>
        <v>0</v>
      </c>
      <c r="D18" s="1291">
        <f t="shared" si="0"/>
        <v>0</v>
      </c>
      <c r="E18" s="1291"/>
      <c r="F18" s="239"/>
      <c r="G18" s="239"/>
      <c r="H18" s="239"/>
    </row>
    <row r="19" spans="1:8" ht="12.6" customHeight="1">
      <c r="A19" s="94">
        <v>3</v>
      </c>
      <c r="B19" s="228">
        <f>IF(A19&gt;C9,0,SUM(C88:C99)*($C$6/$C$7))</f>
        <v>0</v>
      </c>
      <c r="C19" s="251">
        <f>IF(A19&gt;C9,0,(E87+K87)*$C$8)</f>
        <v>0</v>
      </c>
      <c r="D19" s="1291">
        <f t="shared" si="0"/>
        <v>0</v>
      </c>
      <c r="E19" s="1291"/>
      <c r="F19" s="239"/>
      <c r="G19" s="239"/>
      <c r="H19" s="239"/>
    </row>
    <row r="20" spans="1:8" ht="12.6" customHeight="1">
      <c r="A20" s="94">
        <v>4</v>
      </c>
      <c r="B20" s="228">
        <f>IF(A20&gt;C9,0,SUM(C100:C111)*($C$6/$C$7))</f>
        <v>0</v>
      </c>
      <c r="C20" s="251">
        <f>IF(A20&gt;C9,0,(E99+K99)*$C$8)</f>
        <v>0</v>
      </c>
      <c r="D20" s="1291">
        <f t="shared" si="0"/>
        <v>0</v>
      </c>
      <c r="E20" s="1291"/>
      <c r="F20" s="239"/>
      <c r="G20" s="239"/>
      <c r="H20" s="239"/>
    </row>
    <row r="21" spans="1:8" ht="12.6" customHeight="1">
      <c r="A21" s="94">
        <v>5</v>
      </c>
      <c r="B21" s="228">
        <f>IF(A21&gt;C9,0,SUM(C112:C123)*($C$6/$C$7))</f>
        <v>0</v>
      </c>
      <c r="C21" s="251">
        <f>IF(A21&gt;C9,0,(E111+K111)*$C$8)</f>
        <v>0</v>
      </c>
      <c r="D21" s="1292">
        <f t="shared" si="0"/>
        <v>0</v>
      </c>
      <c r="E21" s="1292"/>
      <c r="F21" s="239"/>
      <c r="G21" s="239"/>
      <c r="H21" s="239"/>
    </row>
    <row r="22" spans="1:8" ht="12.6" customHeight="1">
      <c r="A22" s="229">
        <v>6</v>
      </c>
      <c r="B22" s="230">
        <f>IF(A22&gt;C9,0,SUM(C124:C135)*($C$6/$C$7))</f>
        <v>0</v>
      </c>
      <c r="C22" s="255">
        <f>IF(A22&gt;C9,0,(E123+K123)*$C$8)</f>
        <v>0</v>
      </c>
      <c r="D22" s="1291">
        <f t="shared" si="0"/>
        <v>0</v>
      </c>
      <c r="E22" s="1291"/>
      <c r="F22" s="239"/>
      <c r="G22" s="239"/>
      <c r="H22" s="239"/>
    </row>
    <row r="23" spans="1:8" ht="12.6" customHeight="1">
      <c r="A23" s="231">
        <v>7</v>
      </c>
      <c r="B23" s="232">
        <f>IF(A23&gt;C9,0,SUM(C136:C147)*($C$6/$C$7))</f>
        <v>0</v>
      </c>
      <c r="C23" s="233">
        <f>IF(A23&gt;C9,0,(E135+K135)*$C$8)</f>
        <v>0</v>
      </c>
      <c r="D23" s="1291">
        <f t="shared" si="0"/>
        <v>0</v>
      </c>
      <c r="E23" s="1291"/>
      <c r="F23" s="239"/>
      <c r="G23" s="239"/>
      <c r="H23" s="239"/>
    </row>
    <row r="24" spans="1:8" ht="12.6" customHeight="1">
      <c r="A24" s="231">
        <v>8</v>
      </c>
      <c r="B24" s="232">
        <f>IF(A24&gt;C9,0,SUM(C148:C159)*($C$6/$C$7))</f>
        <v>0</v>
      </c>
      <c r="C24" s="233">
        <f>IF(A24&gt;C9,0,(E147+K147)*$C$8)</f>
        <v>0</v>
      </c>
      <c r="D24" s="1291">
        <f t="shared" si="0"/>
        <v>0</v>
      </c>
      <c r="E24" s="1291"/>
      <c r="F24" s="239"/>
      <c r="G24" s="239"/>
      <c r="H24" s="239"/>
    </row>
    <row r="25" spans="1:8" ht="12.6" customHeight="1">
      <c r="A25" s="231">
        <v>9</v>
      </c>
      <c r="B25" s="232">
        <f>IF(A25&gt;C9,0,SUM(C160:C171)*($C$6/$C$7))</f>
        <v>0</v>
      </c>
      <c r="C25" s="233">
        <f>IF(A25&gt;C9,0,(E159+K159)*$C$8)</f>
        <v>0</v>
      </c>
      <c r="D25" s="1291">
        <f t="shared" si="0"/>
        <v>0</v>
      </c>
      <c r="E25" s="1291"/>
      <c r="F25" s="239"/>
      <c r="G25" s="239"/>
      <c r="H25" s="239"/>
    </row>
    <row r="26" spans="1:8" ht="12.6" customHeight="1">
      <c r="A26" s="234">
        <v>10</v>
      </c>
      <c r="B26" s="235">
        <f>IF(A26&gt;C9,0,SUM(C172:C183)*($C$6/$C$7))</f>
        <v>0</v>
      </c>
      <c r="C26" s="254">
        <f>IF(A26&gt;C9,0,(E171+K171)*$C$8)</f>
        <v>0</v>
      </c>
      <c r="D26" s="1292">
        <f t="shared" si="0"/>
        <v>0</v>
      </c>
      <c r="E26" s="1292"/>
      <c r="F26" s="239"/>
      <c r="G26" s="239"/>
      <c r="H26" s="239"/>
    </row>
    <row r="27" spans="1:8" ht="12.6" customHeight="1">
      <c r="A27" s="236">
        <v>11</v>
      </c>
      <c r="B27" s="228">
        <f>IF(A27&gt;C9,0,SUM(C184:C195)*($C$6/$C$7))</f>
        <v>0</v>
      </c>
      <c r="C27" s="251">
        <f>IF(A27&gt;C9,0,(E183+K183)*$C$8)</f>
        <v>0</v>
      </c>
      <c r="D27" s="1291">
        <f t="shared" si="0"/>
        <v>0</v>
      </c>
      <c r="E27" s="1291"/>
      <c r="F27" s="239"/>
      <c r="G27" s="239"/>
      <c r="H27" s="239"/>
    </row>
    <row r="28" spans="1:8" ht="12.6" customHeight="1">
      <c r="A28" s="236">
        <v>12</v>
      </c>
      <c r="B28" s="228">
        <f>IF(A28&gt;C9,0,SUM(C196:C207)*($C$6/$C$7))</f>
        <v>0</v>
      </c>
      <c r="C28" s="251">
        <f>IF(A28&gt;C9,0,(E195+K195)*$C$8)</f>
        <v>0</v>
      </c>
      <c r="D28" s="1291">
        <f t="shared" si="0"/>
        <v>0</v>
      </c>
      <c r="E28" s="1291"/>
      <c r="F28" s="239"/>
      <c r="G28" s="239"/>
      <c r="H28" s="239"/>
    </row>
    <row r="29" spans="1:8" ht="12.6" customHeight="1">
      <c r="A29" s="236">
        <v>13</v>
      </c>
      <c r="B29" s="228">
        <f>IF(A29&gt;C9,0,SUM(C208:C219)*($C$6/$C$7))</f>
        <v>0</v>
      </c>
      <c r="C29" s="251">
        <f>IF(A29&gt;C9,0,(E207+K207)*$C$8)</f>
        <v>0</v>
      </c>
      <c r="D29" s="1291">
        <f t="shared" si="0"/>
        <v>0</v>
      </c>
      <c r="E29" s="1291"/>
      <c r="F29" s="239"/>
      <c r="G29" s="239"/>
      <c r="H29" s="239"/>
    </row>
    <row r="30" spans="1:8" ht="12.6" customHeight="1">
      <c r="A30" s="236">
        <v>14</v>
      </c>
      <c r="B30" s="228">
        <f>IF(A30&gt;C9,0,SUM(C220:C231)*($C$6/$C$7))</f>
        <v>0</v>
      </c>
      <c r="C30" s="251">
        <f>IF(A30&gt;C9,0,(E219+K219)*$C$8)</f>
        <v>0</v>
      </c>
      <c r="D30" s="1291">
        <f t="shared" si="0"/>
        <v>0</v>
      </c>
      <c r="E30" s="1291"/>
      <c r="F30" s="239"/>
      <c r="G30" s="239"/>
      <c r="H30" s="239"/>
    </row>
    <row r="31" spans="1:8" ht="12.6" customHeight="1">
      <c r="A31" s="236">
        <v>15</v>
      </c>
      <c r="B31" s="228">
        <f>IF(A31&gt;C9,0,SUM(C232:C243)*($C$6/$C$7))</f>
        <v>0</v>
      </c>
      <c r="C31" s="251">
        <f>IF(A31&gt;C9,0,(E231+K231)*$C$8)</f>
        <v>0</v>
      </c>
      <c r="D31" s="1292">
        <f t="shared" si="0"/>
        <v>0</v>
      </c>
      <c r="E31" s="1292"/>
      <c r="F31" s="239"/>
      <c r="G31" s="239"/>
      <c r="H31" s="239"/>
    </row>
    <row r="32" spans="1:8" ht="12.6" customHeight="1">
      <c r="A32" s="238">
        <v>16</v>
      </c>
      <c r="B32" s="230">
        <f>IF(A32&gt;C9,0,SUM(C244:C255)*($C$6/$C$7))</f>
        <v>0</v>
      </c>
      <c r="C32" s="255">
        <f>IF(A32&gt;C9,0,(E243+K243)*$C$8)</f>
        <v>0</v>
      </c>
      <c r="D32" s="1291">
        <f t="shared" si="0"/>
        <v>0</v>
      </c>
      <c r="E32" s="1291"/>
      <c r="F32" s="239"/>
      <c r="G32" s="239"/>
      <c r="H32" s="239"/>
    </row>
    <row r="33" spans="1:8" ht="12.6" customHeight="1">
      <c r="A33" s="231">
        <v>17</v>
      </c>
      <c r="B33" s="232">
        <f>IF(A33&gt;C9,0,SUM(C256:C267)*($C$6/$C$7))</f>
        <v>0</v>
      </c>
      <c r="C33" s="233">
        <f>IF(A33&gt;C9,0,(E255+K255)*$C$8)</f>
        <v>0</v>
      </c>
      <c r="D33" s="1291">
        <f t="shared" si="0"/>
        <v>0</v>
      </c>
      <c r="E33" s="1291"/>
      <c r="F33" s="239"/>
      <c r="G33" s="239"/>
      <c r="H33" s="239"/>
    </row>
    <row r="34" spans="1:8" ht="12.6" customHeight="1">
      <c r="A34" s="231">
        <v>18</v>
      </c>
      <c r="B34" s="232">
        <f>IF(A34&gt;C9,0,SUM(C268:C279)*($C$6/$C$7))</f>
        <v>0</v>
      </c>
      <c r="C34" s="233">
        <f>IF(A34&gt;C9,0,(E267+K267)*$C$8)</f>
        <v>0</v>
      </c>
      <c r="D34" s="1291">
        <f t="shared" si="0"/>
        <v>0</v>
      </c>
      <c r="E34" s="1291"/>
      <c r="F34" s="239"/>
      <c r="G34" s="239"/>
      <c r="H34" s="239"/>
    </row>
    <row r="35" spans="1:8" ht="12.6" customHeight="1">
      <c r="A35" s="231">
        <v>19</v>
      </c>
      <c r="B35" s="232">
        <f>IF(A35&gt;C9,0,SUM(C280:C291)*($C$6/$C$7))</f>
        <v>0</v>
      </c>
      <c r="C35" s="233">
        <f>IF(A35&gt;C9,0,(E279+K279)*$C$8)</f>
        <v>0</v>
      </c>
      <c r="D35" s="1291">
        <f t="shared" si="0"/>
        <v>0</v>
      </c>
      <c r="E35" s="1291"/>
      <c r="F35" s="239"/>
      <c r="G35" s="239"/>
      <c r="H35" s="239"/>
    </row>
    <row r="36" spans="1:8" ht="12.6" customHeight="1">
      <c r="A36" s="234">
        <v>20</v>
      </c>
      <c r="B36" s="235">
        <f>IF(A36&gt;C9,0,SUM(C292:C303)*($C$6/$C$7))</f>
        <v>0</v>
      </c>
      <c r="C36" s="254">
        <f>IF(A36&gt;C9,0,(E291+K291)*$C$8)</f>
        <v>0</v>
      </c>
      <c r="D36" s="1292">
        <f t="shared" si="0"/>
        <v>0</v>
      </c>
      <c r="E36" s="1292"/>
      <c r="F36" s="239"/>
      <c r="G36" s="239"/>
      <c r="H36" s="239"/>
    </row>
    <row r="37" spans="1:8" ht="12.6" customHeight="1">
      <c r="A37" s="94">
        <v>21</v>
      </c>
      <c r="B37" s="230">
        <f>IF(A37&gt;C9,0,SUM(C293:C304)*($C$6/$C$7))</f>
        <v>0</v>
      </c>
      <c r="C37" s="255">
        <f>IF(A37&gt;C9,0,(E303+K303)*$C$8)</f>
        <v>0</v>
      </c>
      <c r="D37" s="1293">
        <f t="shared" si="0"/>
        <v>0</v>
      </c>
      <c r="E37" s="1293"/>
      <c r="F37" s="239"/>
      <c r="G37" s="239"/>
      <c r="H37" s="239"/>
    </row>
    <row r="38" spans="1:8" ht="12.6" customHeight="1">
      <c r="A38" s="94">
        <v>22</v>
      </c>
      <c r="B38" s="232">
        <f>IF(A38&gt;C9,0,SUM(C294:C305)*($C$6/$C$7))</f>
        <v>0</v>
      </c>
      <c r="C38" s="233">
        <f>IF(A38&gt;C9,0,(E315+K315)*$C$8)</f>
        <v>0</v>
      </c>
      <c r="D38" s="1291">
        <f t="shared" si="0"/>
        <v>0</v>
      </c>
      <c r="E38" s="1291"/>
      <c r="F38" s="239"/>
      <c r="G38" s="239"/>
      <c r="H38" s="239"/>
    </row>
    <row r="39" spans="1:8" ht="12.6" customHeight="1">
      <c r="A39" s="94">
        <v>23</v>
      </c>
      <c r="B39" s="232">
        <f>IF(A39&gt;C9,0,SUM(C295:C306)*($C$6/$C$7))</f>
        <v>0</v>
      </c>
      <c r="C39" s="233">
        <f>IF(A39&gt;C9,0,(E327+K327)*$C$8)</f>
        <v>0</v>
      </c>
      <c r="D39" s="1291">
        <f t="shared" si="0"/>
        <v>0</v>
      </c>
      <c r="E39" s="1291"/>
      <c r="F39" s="239"/>
      <c r="G39" s="239"/>
      <c r="H39" s="239"/>
    </row>
    <row r="40" spans="1:8" ht="12.6" customHeight="1">
      <c r="A40" s="94">
        <v>24</v>
      </c>
      <c r="B40" s="232">
        <f>IF(A40&gt;C9,0,SUM(C296:C307)*($C$6/$C$7))</f>
        <v>0</v>
      </c>
      <c r="C40" s="233">
        <f>IF(A40&gt;C9,0,(E339+K339)*$C$8)</f>
        <v>0</v>
      </c>
      <c r="D40" s="1291">
        <f t="shared" si="0"/>
        <v>0</v>
      </c>
      <c r="E40" s="1291"/>
      <c r="F40" s="239"/>
      <c r="G40" s="239"/>
      <c r="H40" s="239"/>
    </row>
    <row r="41" spans="1:8" ht="12.6" customHeight="1">
      <c r="A41" s="94">
        <v>25</v>
      </c>
      <c r="B41" s="235">
        <f>IF(A41&gt;C9,0,SUM(C297:C308)*($C$6/$C$7))</f>
        <v>0</v>
      </c>
      <c r="C41" s="254">
        <f>IF(A41&gt;C9,0,(E351+K351)*$C$8)</f>
        <v>0</v>
      </c>
      <c r="D41" s="1292">
        <f t="shared" si="0"/>
        <v>0</v>
      </c>
      <c r="E41" s="1292"/>
      <c r="F41" s="239"/>
      <c r="G41" s="239"/>
      <c r="H41" s="239"/>
    </row>
    <row r="42" spans="1:8" ht="12.6" customHeight="1">
      <c r="A42" s="229">
        <v>26</v>
      </c>
      <c r="B42" s="230">
        <f>IF(A42&gt;C9,0,SUM(C298:C309)*($C$6/$C$7))</f>
        <v>0</v>
      </c>
      <c r="C42" s="255">
        <f>IF(A42&gt;C9,0,(E363+K363)*$C$8)</f>
        <v>0</v>
      </c>
      <c r="D42" s="1293">
        <f t="shared" si="0"/>
        <v>0</v>
      </c>
      <c r="E42" s="1293"/>
      <c r="F42" s="239"/>
      <c r="G42" s="239"/>
      <c r="H42" s="239"/>
    </row>
    <row r="43" spans="1:8" ht="12.6" customHeight="1">
      <c r="A43" s="231">
        <v>27</v>
      </c>
      <c r="B43" s="232">
        <f>IF(A43&gt;C9,0,SUM(C299:C310)*($C$6/$C$7))</f>
        <v>0</v>
      </c>
      <c r="C43" s="233">
        <f>IF(A43&gt;C9,0,(E375+K375)*$C$8)</f>
        <v>0</v>
      </c>
      <c r="D43" s="1291">
        <f t="shared" si="0"/>
        <v>0</v>
      </c>
      <c r="E43" s="1291"/>
      <c r="F43" s="239"/>
      <c r="G43" s="239"/>
      <c r="H43" s="239"/>
    </row>
    <row r="44" spans="1:8" ht="12.6" customHeight="1">
      <c r="A44" s="231">
        <v>28</v>
      </c>
      <c r="B44" s="232">
        <f>IF(A44&gt;C9,0,SUM(C300:C311)*($C$6/$C$7))</f>
        <v>0</v>
      </c>
      <c r="C44" s="233">
        <f>IF(A44&gt;C9,0,(E387+K387)*$C$8)</f>
        <v>0</v>
      </c>
      <c r="D44" s="1291">
        <f t="shared" si="0"/>
        <v>0</v>
      </c>
      <c r="E44" s="1291"/>
      <c r="F44" s="239"/>
      <c r="G44" s="239"/>
      <c r="H44" s="239"/>
    </row>
    <row r="45" spans="1:8" ht="12.6" customHeight="1">
      <c r="A45" s="231">
        <v>29</v>
      </c>
      <c r="B45" s="232">
        <f>IF(A45&gt;C9,0,SUM(C301:C312)*($C$6/$C$7))</f>
        <v>0</v>
      </c>
      <c r="C45" s="233">
        <f>IF(A45&gt;C9,0,(E411+K411)*$C$8)</f>
        <v>0</v>
      </c>
      <c r="D45" s="1291">
        <f t="shared" si="0"/>
        <v>0</v>
      </c>
      <c r="E45" s="1291"/>
      <c r="F45" s="239"/>
      <c r="G45" s="239"/>
      <c r="H45" s="239"/>
    </row>
    <row r="46" spans="1:8" ht="12.6" customHeight="1">
      <c r="A46" s="234">
        <v>30</v>
      </c>
      <c r="B46" s="235">
        <f>IF(A46&gt;C9,0,SUM(C302:C313)*($C$6/$C$7))</f>
        <v>0</v>
      </c>
      <c r="C46" s="254">
        <f>IF(A46&gt;C9,0,(E423+K423)*$C$8)</f>
        <v>0</v>
      </c>
      <c r="D46" s="1292">
        <f t="shared" si="0"/>
        <v>0</v>
      </c>
      <c r="E46" s="1292"/>
      <c r="F46" s="239"/>
      <c r="G46" s="239"/>
      <c r="H46" s="239"/>
    </row>
    <row r="47" spans="1:8" ht="12.6" customHeight="1">
      <c r="A47" s="238">
        <v>31</v>
      </c>
      <c r="B47" s="230">
        <f>IF(A47&gt;C9,0,SUM(C303:C314)*($C$6/$C$7))</f>
        <v>0</v>
      </c>
      <c r="C47" s="255">
        <f>IF(A47&gt;C9,0,(E435+K435)*$C$8)</f>
        <v>0</v>
      </c>
      <c r="D47" s="1293">
        <f t="shared" si="0"/>
        <v>0</v>
      </c>
      <c r="E47" s="1293"/>
      <c r="F47" s="239"/>
      <c r="G47" s="239"/>
      <c r="H47" s="239"/>
    </row>
    <row r="48" spans="1:8" ht="12.6" customHeight="1">
      <c r="A48" s="231">
        <v>32</v>
      </c>
      <c r="B48" s="232">
        <f>IF(A48&gt;C9,0,SUM(C304:C315)*($C$6/$C$7))</f>
        <v>0</v>
      </c>
      <c r="C48" s="233">
        <f>IF(A48&gt;C9,0,(E447+K447)*$C$8)</f>
        <v>0</v>
      </c>
      <c r="D48" s="1291">
        <f t="shared" si="0"/>
        <v>0</v>
      </c>
      <c r="E48" s="1291"/>
      <c r="F48" s="239"/>
      <c r="G48" s="239"/>
      <c r="H48" s="239"/>
    </row>
    <row r="49" spans="1:12" ht="12.6" customHeight="1">
      <c r="A49" s="231">
        <v>33</v>
      </c>
      <c r="B49" s="232">
        <f>IF(A49&gt;C9,0,SUM(C305:C316)*($C$6/$C$7))</f>
        <v>0</v>
      </c>
      <c r="C49" s="233">
        <f>IF(A49&gt;C9,0,(E459+K459)*$C$8)</f>
        <v>0</v>
      </c>
      <c r="D49" s="1291">
        <f t="shared" si="0"/>
        <v>0</v>
      </c>
      <c r="E49" s="1291"/>
      <c r="F49" s="239"/>
      <c r="G49" s="239"/>
      <c r="H49" s="239"/>
    </row>
    <row r="50" spans="1:12" ht="12.6" customHeight="1">
      <c r="A50" s="231">
        <v>34</v>
      </c>
      <c r="B50" s="232">
        <f>IF(A50&gt;C9,0,SUM(C306:C317)*($C$6/$C$7))</f>
        <v>0</v>
      </c>
      <c r="C50" s="233">
        <f>IF(A50&gt;C9,0,(E471+K471)*$C$8)</f>
        <v>0</v>
      </c>
      <c r="D50" s="1291">
        <f t="shared" si="0"/>
        <v>0</v>
      </c>
      <c r="E50" s="1291"/>
      <c r="F50" s="239"/>
      <c r="G50" s="239"/>
      <c r="H50" s="239"/>
    </row>
    <row r="51" spans="1:12" ht="12.6" customHeight="1">
      <c r="A51" s="234">
        <v>35</v>
      </c>
      <c r="B51" s="235">
        <f>IF(A51&gt;C9,0,SUM(C307:C318)*($C$6/$C$7))</f>
        <v>0</v>
      </c>
      <c r="C51" s="254">
        <f>IF(A51&gt;C9,0,(E483+K483)*$C$8)</f>
        <v>0</v>
      </c>
      <c r="D51" s="1292">
        <f t="shared" si="0"/>
        <v>0</v>
      </c>
      <c r="E51" s="1292"/>
      <c r="F51" s="239"/>
      <c r="G51" s="239"/>
      <c r="H51" s="239"/>
    </row>
    <row r="52" spans="1:12" ht="12.6" customHeight="1">
      <c r="A52" s="238">
        <v>36</v>
      </c>
      <c r="B52" s="230">
        <f>IF(A52&gt;C9,0,SUM(C308:C319)*($C$6/$C$7))</f>
        <v>0</v>
      </c>
      <c r="C52" s="255">
        <f>IF(A52&gt;C9,0,(E495+K495)*$C$8)</f>
        <v>0</v>
      </c>
      <c r="D52" s="1293">
        <f t="shared" si="0"/>
        <v>0</v>
      </c>
      <c r="E52" s="1293"/>
      <c r="F52" s="239"/>
      <c r="G52" s="239"/>
      <c r="H52" s="239"/>
    </row>
    <row r="53" spans="1:12" ht="12.6" customHeight="1">
      <c r="A53" s="231">
        <v>37</v>
      </c>
      <c r="B53" s="232">
        <f>IF(A53&gt;C9,0,SUM(C309:C320)*($C$6/$C$7))</f>
        <v>0</v>
      </c>
      <c r="C53" s="233">
        <f>IF(A53&gt;C9,0,(E507+K507)*$C$8)</f>
        <v>0</v>
      </c>
      <c r="D53" s="1291">
        <f t="shared" si="0"/>
        <v>0</v>
      </c>
      <c r="E53" s="1291"/>
      <c r="F53" s="239"/>
      <c r="G53" s="239"/>
      <c r="H53" s="239"/>
    </row>
    <row r="54" spans="1:12" ht="12.6" customHeight="1">
      <c r="A54" s="231">
        <v>38</v>
      </c>
      <c r="B54" s="232">
        <f>IF(A54&gt;C9,0,SUM(C310:C321)*($C$6/$C$7))</f>
        <v>0</v>
      </c>
      <c r="C54" s="233">
        <f>IF(A54&gt;C9,0,(E519+K519)*$C$8)</f>
        <v>0</v>
      </c>
      <c r="D54" s="1291">
        <f t="shared" si="0"/>
        <v>0</v>
      </c>
      <c r="E54" s="1291"/>
      <c r="F54" s="239"/>
      <c r="G54" s="239"/>
      <c r="H54" s="239"/>
    </row>
    <row r="55" spans="1:12" ht="12.6" customHeight="1">
      <c r="A55" s="231">
        <v>39</v>
      </c>
      <c r="B55" s="232">
        <f>IF(A55&gt;C9,0,SUM(C311:C322)*($C$6/$C$7))</f>
        <v>0</v>
      </c>
      <c r="C55" s="233">
        <f>IF(A55&gt;C9,0,(E531+K531)*$C$8)</f>
        <v>0</v>
      </c>
      <c r="D55" s="1291">
        <f t="shared" si="0"/>
        <v>0</v>
      </c>
      <c r="E55" s="1291"/>
      <c r="F55" s="239"/>
      <c r="G55" s="239"/>
      <c r="H55" s="239"/>
    </row>
    <row r="56" spans="1:12" ht="12.6"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15" customHeight="1">
      <c r="A58" s="1295" t="str">
        <f>CONCATENATE('Part I-Project Information'!$O$4," ",'Part I-Project Information'!$F$23,", ",'Part I-Project Information'!$F$27,", ",'Part I-Project Information'!$J$28," County")</f>
        <v>2014-051 Macon Gardens, Macon, Bibb County</v>
      </c>
      <c r="B58" s="1295"/>
      <c r="C58" s="1295"/>
      <c r="D58" s="1295"/>
      <c r="E58" s="1295"/>
      <c r="F58" s="1295"/>
      <c r="G58" s="1295" t="str">
        <f>CONCATENATE('Part I-Project Information'!$O$4," ",'Part I-Project Information'!$F$23,", ",'Part I-Project Information'!$F$27,", ",'Part I-Project Information'!$J$28," County")</f>
        <v>2014-051 Macon Gardens, Macon, Bibb County</v>
      </c>
      <c r="H58" s="1295"/>
      <c r="I58" s="1295"/>
      <c r="J58" s="1295"/>
      <c r="K58" s="1295"/>
      <c r="L58" s="1295"/>
    </row>
    <row r="59" spans="1:12" ht="15">
      <c r="A59" s="1296" t="s">
        <v>2640</v>
      </c>
      <c r="B59" s="1296"/>
      <c r="C59" s="1296"/>
      <c r="D59" s="1296"/>
      <c r="E59" s="1296"/>
      <c r="F59" s="1296"/>
      <c r="G59" s="1296" t="s">
        <v>2640</v>
      </c>
      <c r="H59" s="1296"/>
      <c r="I59" s="1296"/>
      <c r="J59" s="1296"/>
      <c r="K59" s="1296"/>
      <c r="L59" s="1296"/>
    </row>
    <row r="60" spans="1:12" ht="6" customHeight="1">
      <c r="C60" s="237"/>
      <c r="D60" s="237"/>
      <c r="I60" s="237"/>
      <c r="J60" s="237"/>
    </row>
    <row r="61" spans="1:12">
      <c r="A61" s="240" t="s">
        <v>2641</v>
      </c>
      <c r="B61" s="241" t="s">
        <v>2642</v>
      </c>
      <c r="C61" s="241" t="s">
        <v>1381</v>
      </c>
      <c r="D61" s="241" t="s">
        <v>2643</v>
      </c>
      <c r="E61" s="240" t="s">
        <v>2644</v>
      </c>
      <c r="F61" s="269" t="s">
        <v>2649</v>
      </c>
      <c r="G61" s="240" t="s">
        <v>2641</v>
      </c>
      <c r="H61" s="241" t="s">
        <v>2642</v>
      </c>
      <c r="I61" s="241" t="s">
        <v>1381</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8" t="str">
        <f>CONCATENATE("PART III C  - HUD INSURED LOAN","  -  ",'Part I-Project Information'!$O$4," ",'Part I-Project Information'!$F$23,", ",'Part I-Project Information'!$F$27,", ",'Part I-Project Information'!$J$28," County")</f>
        <v>PART III C  - HUD INSURED LOAN  -  2014-051 Macon Gardens, Macon, Bibb County</v>
      </c>
      <c r="B1" s="1289"/>
      <c r="C1" s="1289"/>
      <c r="D1" s="1289"/>
      <c r="E1" s="1289"/>
      <c r="F1" s="1290"/>
      <c r="G1" s="201"/>
      <c r="H1" s="201"/>
      <c r="I1" s="201"/>
      <c r="J1" s="201"/>
      <c r="K1" s="201"/>
      <c r="L1" s="201"/>
      <c r="M1" s="201"/>
      <c r="N1" s="201"/>
      <c r="O1" s="201"/>
      <c r="P1" s="201"/>
      <c r="Q1" s="201"/>
    </row>
    <row r="2" spans="1:17">
      <c r="A2" s="16"/>
      <c r="B2" s="227"/>
      <c r="C2" s="227"/>
      <c r="D2" s="227"/>
    </row>
    <row r="3" spans="1:17" ht="15.6" customHeight="1">
      <c r="A3" s="1297" t="s">
        <v>227</v>
      </c>
      <c r="B3" s="1297"/>
      <c r="C3" s="1297"/>
      <c r="D3" s="1297"/>
      <c r="E3" s="1297"/>
      <c r="F3" s="1297"/>
      <c r="G3" s="272"/>
      <c r="H3" s="272"/>
    </row>
    <row r="4" spans="1:17">
      <c r="A4" s="16"/>
      <c r="B4" s="227"/>
      <c r="C4" s="227"/>
      <c r="D4" s="227"/>
    </row>
    <row r="5" spans="1:17" ht="13.15" customHeight="1">
      <c r="A5" s="31" t="s">
        <v>2404</v>
      </c>
      <c r="D5" s="267"/>
      <c r="E5" s="1300" t="s">
        <v>1014</v>
      </c>
      <c r="F5" s="1301"/>
      <c r="G5" s="190"/>
    </row>
    <row r="6" spans="1:17">
      <c r="E6" s="1301"/>
      <c r="F6" s="1301"/>
      <c r="G6" s="190"/>
    </row>
    <row r="7" spans="1:17">
      <c r="A7" s="31" t="s">
        <v>2632</v>
      </c>
      <c r="C7" s="31" t="s">
        <v>2633</v>
      </c>
      <c r="D7" s="268"/>
      <c r="E7" s="1301"/>
      <c r="F7" s="1301"/>
      <c r="G7" s="190"/>
    </row>
    <row r="8" spans="1:17">
      <c r="C8" s="31" t="s">
        <v>2634</v>
      </c>
      <c r="D8" s="268"/>
      <c r="E8" s="1301"/>
      <c r="F8" s="1301"/>
      <c r="G8" s="190"/>
    </row>
    <row r="9" spans="1:17">
      <c r="C9" s="31" t="s">
        <v>2635</v>
      </c>
      <c r="D9" s="268"/>
      <c r="E9" s="1301"/>
      <c r="F9" s="1301"/>
      <c r="G9" s="190"/>
    </row>
    <row r="10" spans="1:17">
      <c r="C10" s="31" t="s">
        <v>2648</v>
      </c>
      <c r="D10" s="273">
        <f>D7+D8+D9</f>
        <v>0</v>
      </c>
      <c r="E10" s="1301"/>
      <c r="F10" s="1301"/>
      <c r="G10" s="190"/>
    </row>
    <row r="11" spans="1:17">
      <c r="F11" s="190"/>
      <c r="G11" s="190"/>
    </row>
    <row r="12" spans="1:17">
      <c r="A12" s="31" t="s">
        <v>1838</v>
      </c>
      <c r="D12" s="266"/>
      <c r="E12" s="31" t="s">
        <v>2273</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987</v>
      </c>
      <c r="D18" s="275" t="e">
        <f>PMT(D10/12,D16*12,-D5,0,0)*12</f>
        <v>#NUM!</v>
      </c>
      <c r="E18" s="31" t="s">
        <v>1604</v>
      </c>
      <c r="F18" s="274"/>
    </row>
    <row r="19" spans="1:10">
      <c r="D19" s="237"/>
      <c r="F19" s="274"/>
    </row>
    <row r="20" spans="1:10">
      <c r="A20" s="31" t="s">
        <v>1605</v>
      </c>
      <c r="D20" s="237" t="e">
        <f>D18/12</f>
        <v>#NUM!</v>
      </c>
      <c r="E20" s="31" t="s">
        <v>1604</v>
      </c>
      <c r="F20" s="274"/>
    </row>
    <row r="24" spans="1:10" ht="18" customHeight="1">
      <c r="A24" s="1298" t="s">
        <v>1839</v>
      </c>
      <c r="B24" s="1298"/>
      <c r="C24" s="1298"/>
      <c r="D24" s="1298"/>
      <c r="E24" s="1298"/>
      <c r="F24" s="1298"/>
      <c r="J24" s="276"/>
    </row>
    <row r="25" spans="1:10">
      <c r="C25" s="237"/>
      <c r="J25" s="276"/>
    </row>
    <row r="26" spans="1:10">
      <c r="A26" s="121"/>
      <c r="B26" s="94"/>
      <c r="C26" s="1302" t="s">
        <v>2403</v>
      </c>
      <c r="D26" s="271"/>
      <c r="E26" s="94"/>
      <c r="F26" s="1302" t="s">
        <v>2403</v>
      </c>
      <c r="J26" s="276"/>
    </row>
    <row r="27" spans="1:10">
      <c r="A27" s="277" t="s">
        <v>2649</v>
      </c>
      <c r="B27" s="84" t="s">
        <v>1089</v>
      </c>
      <c r="C27" s="1303"/>
      <c r="D27" s="278" t="s">
        <v>2649</v>
      </c>
      <c r="E27" s="84" t="s">
        <v>1089</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5" t="str">
        <f>CONCATENATE('Part I-Project Information'!$O$4," ",'Part I-Project Information'!$F$23,", ",'Part I-Project Information'!$F$27,", ",'Part I-Project Information'!$J$28," County")</f>
        <v>2014-051 Macon Gardens, Macon, Bibb County</v>
      </c>
      <c r="B50" s="1295"/>
      <c r="C50" s="1295"/>
      <c r="D50" s="1295"/>
      <c r="E50" s="1295"/>
      <c r="F50" s="1295"/>
      <c r="G50" s="262"/>
      <c r="H50" s="262"/>
    </row>
    <row r="51" spans="1:10" ht="15">
      <c r="A51" s="1296" t="s">
        <v>2640</v>
      </c>
      <c r="B51" s="1296"/>
      <c r="C51" s="1296"/>
      <c r="D51" s="1296"/>
      <c r="E51" s="1296"/>
      <c r="F51" s="1296"/>
      <c r="G51" s="288"/>
      <c r="H51" s="288"/>
      <c r="I51" s="288"/>
      <c r="J51" s="288"/>
    </row>
    <row r="52" spans="1:10" ht="5.45" customHeight="1">
      <c r="C52" s="237"/>
      <c r="D52" s="237"/>
      <c r="G52" s="242"/>
      <c r="H52" s="236"/>
      <c r="I52" s="242"/>
    </row>
    <row r="53" spans="1:10">
      <c r="A53" s="240" t="s">
        <v>2641</v>
      </c>
      <c r="B53" s="240" t="s">
        <v>2642</v>
      </c>
      <c r="C53" s="240" t="s">
        <v>1381</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2014-051 Macon Gardens, Macon, Bibb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2014-051 Macon Gardens, Macon, Bibb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658</v>
      </c>
      <c r="B5" s="524" t="s">
        <v>957</v>
      </c>
      <c r="D5" s="635"/>
      <c r="E5" s="635"/>
      <c r="F5" s="635"/>
      <c r="G5" s="635"/>
      <c r="H5" s="635"/>
      <c r="I5" s="635"/>
      <c r="J5" s="1312" t="s">
        <v>286</v>
      </c>
      <c r="K5" s="1313"/>
      <c r="L5" s="420"/>
      <c r="M5" s="1331" t="s">
        <v>521</v>
      </c>
      <c r="N5" s="1332"/>
      <c r="P5" s="1312" t="s">
        <v>287</v>
      </c>
      <c r="Q5" s="1313"/>
      <c r="S5" s="1312" t="s">
        <v>288</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2893</v>
      </c>
      <c r="X6" s="1307"/>
    </row>
    <row r="7" spans="1:24" s="362" customFormat="1" ht="12" customHeight="1">
      <c r="B7" s="365" t="s">
        <v>105</v>
      </c>
      <c r="O7" s="620" t="str">
        <f>B7</f>
        <v>PRE-DEVELOPMENT COSTS</v>
      </c>
      <c r="W7" s="362" t="str">
        <f>B7</f>
        <v>PRE-DEVELOPMENT COSTS</v>
      </c>
    </row>
    <row r="8" spans="1:24" s="362" customFormat="1" ht="12.6" customHeight="1">
      <c r="B8" s="362" t="s">
        <v>2137</v>
      </c>
      <c r="G8" s="2095">
        <v>11000</v>
      </c>
      <c r="H8" s="2096"/>
      <c r="J8" s="2095"/>
      <c r="K8" s="2096"/>
      <c r="L8" s="1148"/>
      <c r="M8" s="2095"/>
      <c r="N8" s="2096"/>
      <c r="P8" s="2095">
        <f>G8</f>
        <v>11000</v>
      </c>
      <c r="Q8" s="2096"/>
      <c r="S8" s="2095"/>
      <c r="T8" s="2096"/>
      <c r="V8" s="2125"/>
      <c r="W8" s="2126"/>
      <c r="X8" s="2127"/>
    </row>
    <row r="9" spans="1:24" s="362" customFormat="1" ht="12.6" customHeight="1">
      <c r="B9" s="362" t="s">
        <v>482</v>
      </c>
      <c r="G9" s="2095">
        <v>13200</v>
      </c>
      <c r="H9" s="2096"/>
      <c r="J9" s="2095"/>
      <c r="K9" s="2096"/>
      <c r="L9" s="1148"/>
      <c r="M9" s="2095"/>
      <c r="N9" s="2096"/>
      <c r="P9" s="2095">
        <f t="shared" ref="P9:P15" si="0">G9</f>
        <v>13200</v>
      </c>
      <c r="Q9" s="2096"/>
      <c r="S9" s="2095"/>
      <c r="T9" s="2096"/>
      <c r="V9" s="2125"/>
      <c r="W9" s="2128"/>
      <c r="X9" s="2129"/>
    </row>
    <row r="10" spans="1:24" s="362" customFormat="1" ht="12.6" customHeight="1">
      <c r="B10" s="362" t="s">
        <v>518</v>
      </c>
      <c r="G10" s="2095">
        <v>11500</v>
      </c>
      <c r="H10" s="2096"/>
      <c r="J10" s="2095"/>
      <c r="K10" s="2096"/>
      <c r="L10" s="1148"/>
      <c r="M10" s="2095"/>
      <c r="N10" s="2096"/>
      <c r="P10" s="2095">
        <f t="shared" si="0"/>
        <v>11500</v>
      </c>
      <c r="Q10" s="2096"/>
      <c r="S10" s="2095"/>
      <c r="T10" s="2096"/>
      <c r="V10" s="2125"/>
      <c r="W10" s="2128"/>
      <c r="X10" s="2129"/>
    </row>
    <row r="11" spans="1:24" s="362" customFormat="1" ht="12.6" customHeight="1">
      <c r="B11" s="362" t="s">
        <v>519</v>
      </c>
      <c r="G11" s="2095">
        <v>5000</v>
      </c>
      <c r="H11" s="2096"/>
      <c r="J11" s="2095"/>
      <c r="K11" s="2096"/>
      <c r="L11" s="1148"/>
      <c r="M11" s="2095"/>
      <c r="N11" s="2096"/>
      <c r="P11" s="2095">
        <f t="shared" si="0"/>
        <v>5000</v>
      </c>
      <c r="Q11" s="2096"/>
      <c r="S11" s="2095"/>
      <c r="T11" s="2096"/>
      <c r="V11" s="2125"/>
      <c r="W11" s="2128"/>
      <c r="X11" s="2129"/>
    </row>
    <row r="12" spans="1:24" s="362" customFormat="1" ht="12.6" customHeight="1">
      <c r="B12" s="362" t="s">
        <v>2669</v>
      </c>
      <c r="G12" s="2095">
        <v>9237</v>
      </c>
      <c r="H12" s="2096"/>
      <c r="J12" s="2095"/>
      <c r="K12" s="2096"/>
      <c r="L12" s="1148"/>
      <c r="M12" s="2095"/>
      <c r="N12" s="2096"/>
      <c r="P12" s="2095">
        <f t="shared" si="0"/>
        <v>9237</v>
      </c>
      <c r="Q12" s="2096"/>
      <c r="S12" s="2095"/>
      <c r="T12" s="2096"/>
      <c r="V12" s="2125"/>
      <c r="W12" s="2128"/>
      <c r="X12" s="2129"/>
    </row>
    <row r="13" spans="1:24" s="362" customFormat="1" ht="12.6" customHeight="1">
      <c r="B13" s="362" t="s">
        <v>199</v>
      </c>
      <c r="G13" s="2095"/>
      <c r="H13" s="2096"/>
      <c r="J13" s="2095"/>
      <c r="K13" s="2096"/>
      <c r="L13" s="1148"/>
      <c r="M13" s="2095"/>
      <c r="N13" s="2096"/>
      <c r="P13" s="2095">
        <f t="shared" si="0"/>
        <v>0</v>
      </c>
      <c r="Q13" s="2096"/>
      <c r="S13" s="2095"/>
      <c r="T13" s="2096"/>
      <c r="V13" s="2125"/>
      <c r="W13" s="2128"/>
      <c r="X13" s="2129"/>
    </row>
    <row r="14" spans="1:24" s="362" customFormat="1" ht="12.6" customHeight="1">
      <c r="A14" s="448" t="str">
        <f>IF(AND(G14&gt;0,OR(C14="",C14="&lt;Enter detailed description here; use Comments section if needed&gt;")),"X","")</f>
        <v/>
      </c>
      <c r="B14" s="362" t="s">
        <v>792</v>
      </c>
      <c r="C14" s="1956" t="s">
        <v>3761</v>
      </c>
      <c r="D14" s="1956"/>
      <c r="E14" s="1956"/>
      <c r="F14" s="1957"/>
      <c r="G14" s="2095">
        <v>5000</v>
      </c>
      <c r="H14" s="2096"/>
      <c r="J14" s="2095"/>
      <c r="K14" s="2096"/>
      <c r="L14" s="1148"/>
      <c r="M14" s="2095"/>
      <c r="N14" s="2096"/>
      <c r="P14" s="2095"/>
      <c r="Q14" s="2096"/>
      <c r="S14" s="2095">
        <f>G14</f>
        <v>5000</v>
      </c>
      <c r="T14" s="2096"/>
      <c r="U14" s="447" t="str">
        <f>IF(AND(G14&gt;0,OR(C14="",C14="&lt;Enter detailed description here; use Comments section if needed&gt;")),"NO DESCRIPTION PROVIDED - please enter detailed description in Other box at left; use Comments section below if needed.","")</f>
        <v/>
      </c>
      <c r="V14" s="2130"/>
      <c r="W14" s="2128"/>
      <c r="X14" s="2129"/>
    </row>
    <row r="15" spans="1:24" s="362" customFormat="1" ht="12.6" customHeight="1">
      <c r="A15" s="448" t="str">
        <f>IF(AND(G15&gt;0,OR(C15="",C15="&lt;Enter detailed description here; use Comments section if needed&gt;")),"X","")</f>
        <v/>
      </c>
      <c r="B15" s="362" t="s">
        <v>792</v>
      </c>
      <c r="C15" s="1956" t="s">
        <v>3762</v>
      </c>
      <c r="D15" s="1956"/>
      <c r="E15" s="1956"/>
      <c r="F15" s="1957"/>
      <c r="G15" s="2095">
        <v>5000</v>
      </c>
      <c r="H15" s="2096"/>
      <c r="J15" s="2095"/>
      <c r="K15" s="2096"/>
      <c r="L15" s="1148"/>
      <c r="M15" s="2095"/>
      <c r="N15" s="2096"/>
      <c r="P15" s="2095">
        <f t="shared" si="0"/>
        <v>5000</v>
      </c>
      <c r="Q15" s="2096"/>
      <c r="S15" s="2095"/>
      <c r="T15" s="2096"/>
      <c r="U15" s="447" t="str">
        <f>IF(AND(G15&gt;0,OR(C15="",C15="&lt;Enter detailed description here; use Comments section if needed&gt;")),"NO DESCRIPTION PROVIDED - please enter detailed description in Other box at left; use Comments section below if needed.","")</f>
        <v/>
      </c>
      <c r="V15" s="2130"/>
      <c r="W15" s="2128"/>
      <c r="X15" s="2129"/>
    </row>
    <row r="16" spans="1:24" s="362" customFormat="1" ht="12.6" customHeight="1" thickBot="1">
      <c r="A16" s="448" t="str">
        <f>IF(AND(G16&gt;0,OR(C16="",C16="&lt;Enter detailed description here; use Comments section if needed&gt;")),"X","")</f>
        <v/>
      </c>
      <c r="B16" s="362" t="s">
        <v>792</v>
      </c>
      <c r="C16" s="1956" t="s">
        <v>3768</v>
      </c>
      <c r="D16" s="1956"/>
      <c r="E16" s="1956"/>
      <c r="F16" s="1957"/>
      <c r="G16" s="2095">
        <v>1500</v>
      </c>
      <c r="H16" s="2096"/>
      <c r="J16" s="2131"/>
      <c r="K16" s="2132"/>
      <c r="L16" s="1148"/>
      <c r="M16" s="2095"/>
      <c r="N16" s="2096"/>
      <c r="P16" s="2095"/>
      <c r="Q16" s="2096"/>
      <c r="S16" s="2131">
        <f>G16</f>
        <v>1500</v>
      </c>
      <c r="T16" s="2132"/>
      <c r="U16" s="447" t="str">
        <f>IF(AND(G16&gt;0,OR(C16="",C16="&lt;Enter detailed description here; use Comments section if needed&gt;")),"NO DESCRIPTION PROVIDED - please enter detailed description in Other box at left; use Comments section below if needed.","")</f>
        <v/>
      </c>
      <c r="V16" s="2130"/>
      <c r="W16" s="2128"/>
      <c r="X16" s="2129"/>
    </row>
    <row r="17" spans="2:24" s="362" customFormat="1" ht="12.6" customHeight="1" thickTop="1">
      <c r="F17" s="421" t="s">
        <v>200</v>
      </c>
      <c r="G17" s="1304">
        <f>SUM(G8:H16)</f>
        <v>61437</v>
      </c>
      <c r="H17" s="1308"/>
      <c r="J17" s="1304">
        <f>SUM(J8:K16)</f>
        <v>0</v>
      </c>
      <c r="K17" s="1305"/>
      <c r="L17" s="1148"/>
      <c r="M17" s="1304">
        <f>SUM(M8:N16)</f>
        <v>0</v>
      </c>
      <c r="N17" s="1308"/>
      <c r="P17" s="1304">
        <f>SUM(P8:Q16)</f>
        <v>54937</v>
      </c>
      <c r="Q17" s="1308"/>
      <c r="S17" s="1304">
        <f>SUM(S8:T16)</f>
        <v>6500</v>
      </c>
      <c r="T17" s="1308"/>
      <c r="V17" s="2133"/>
      <c r="W17" s="2134"/>
      <c r="X17" s="2135"/>
    </row>
    <row r="18" spans="2:24" s="362" customFormat="1" ht="12" customHeight="1">
      <c r="B18" s="365" t="s">
        <v>2338</v>
      </c>
      <c r="J18" s="420"/>
      <c r="K18" s="420"/>
      <c r="M18" s="420"/>
      <c r="N18" s="420"/>
      <c r="O18" s="422" t="str">
        <f>B18</f>
        <v>ACQUISITION</v>
      </c>
      <c r="P18" s="420"/>
      <c r="Q18" s="420"/>
      <c r="S18" s="420"/>
      <c r="T18" s="420"/>
      <c r="W18" s="362" t="str">
        <f>B18</f>
        <v>ACQUISITION</v>
      </c>
    </row>
    <row r="19" spans="2:24" s="362" customFormat="1" ht="12.6" customHeight="1">
      <c r="B19" s="362" t="s">
        <v>2339</v>
      </c>
      <c r="G19" s="2095">
        <v>560000</v>
      </c>
      <c r="H19" s="2096"/>
      <c r="J19" s="423"/>
      <c r="K19" s="420"/>
      <c r="L19" s="423"/>
      <c r="M19" s="423"/>
      <c r="N19" s="420"/>
      <c r="P19" s="423"/>
      <c r="Q19" s="420"/>
      <c r="S19" s="2095">
        <f>G19</f>
        <v>560000</v>
      </c>
      <c r="T19" s="2096"/>
      <c r="V19" s="2125"/>
      <c r="W19" s="2126"/>
      <c r="X19" s="2127"/>
    </row>
    <row r="20" spans="2:24" s="362" customFormat="1" ht="12.6" customHeight="1">
      <c r="B20" s="362" t="s">
        <v>1185</v>
      </c>
      <c r="G20" s="2095"/>
      <c r="H20" s="2096"/>
      <c r="J20" s="423"/>
      <c r="K20" s="420"/>
      <c r="L20" s="423"/>
      <c r="M20" s="423"/>
      <c r="N20" s="420"/>
      <c r="P20" s="423"/>
      <c r="Q20" s="420"/>
      <c r="S20" s="2095"/>
      <c r="T20" s="2096"/>
      <c r="V20" s="2125"/>
      <c r="W20" s="2128"/>
      <c r="X20" s="2129"/>
    </row>
    <row r="21" spans="2:24" s="362" customFormat="1" ht="12.6" customHeight="1">
      <c r="B21" s="362" t="s">
        <v>483</v>
      </c>
      <c r="G21" s="2095"/>
      <c r="H21" s="2096"/>
      <c r="J21" s="423"/>
      <c r="K21" s="420"/>
      <c r="L21" s="423"/>
      <c r="M21" s="2095"/>
      <c r="N21" s="2096"/>
      <c r="P21" s="423"/>
      <c r="Q21" s="420"/>
      <c r="S21" s="2095"/>
      <c r="T21" s="2096"/>
      <c r="V21" s="2125"/>
      <c r="W21" s="2128"/>
      <c r="X21" s="2129"/>
    </row>
    <row r="22" spans="2:24" s="362" customFormat="1" ht="12.6" customHeight="1" thickBot="1">
      <c r="B22" s="362" t="s">
        <v>452</v>
      </c>
      <c r="G22" s="2136">
        <v>2240000</v>
      </c>
      <c r="H22" s="2137"/>
      <c r="J22" s="423"/>
      <c r="K22" s="420"/>
      <c r="L22" s="423"/>
      <c r="M22" s="2136">
        <v>2240000</v>
      </c>
      <c r="N22" s="2137"/>
      <c r="P22" s="423"/>
      <c r="Q22" s="420"/>
      <c r="S22" s="2095"/>
      <c r="T22" s="2096"/>
      <c r="V22" s="2125"/>
      <c r="W22" s="2128"/>
      <c r="X22" s="2129"/>
    </row>
    <row r="23" spans="2:24" s="362" customFormat="1" ht="12.6" customHeight="1" thickTop="1">
      <c r="F23" s="421" t="s">
        <v>200</v>
      </c>
      <c r="G23" s="1304">
        <f>SUM(G19:H22)</f>
        <v>2800000</v>
      </c>
      <c r="H23" s="1308"/>
      <c r="J23" s="423"/>
      <c r="K23" s="420"/>
      <c r="L23" s="423"/>
      <c r="M23" s="1304">
        <f>SUM(M21:N22)</f>
        <v>2240000</v>
      </c>
      <c r="N23" s="1308"/>
      <c r="P23" s="423"/>
      <c r="Q23" s="420"/>
      <c r="S23" s="1304">
        <f>SUM(S19:T22)</f>
        <v>560000</v>
      </c>
      <c r="T23" s="1308"/>
      <c r="V23" s="2133"/>
      <c r="W23" s="2134"/>
      <c r="X23" s="2135"/>
    </row>
    <row r="24" spans="2:24" s="362" customFormat="1" ht="12" customHeight="1">
      <c r="B24" s="365" t="s">
        <v>1186</v>
      </c>
      <c r="J24" s="423"/>
      <c r="K24" s="420"/>
      <c r="M24" s="423"/>
      <c r="N24" s="420"/>
      <c r="O24" s="422" t="str">
        <f>B24</f>
        <v>LAND IMPROVEMENTS</v>
      </c>
      <c r="P24" s="423"/>
      <c r="Q24" s="420"/>
      <c r="S24" s="423"/>
      <c r="T24" s="420"/>
      <c r="W24" s="362" t="str">
        <f>B24</f>
        <v>LAND IMPROVEMENTS</v>
      </c>
    </row>
    <row r="25" spans="2:24" s="362" customFormat="1" ht="12.6" customHeight="1">
      <c r="B25" s="362" t="s">
        <v>1187</v>
      </c>
      <c r="G25" s="2095">
        <v>500000</v>
      </c>
      <c r="H25" s="2096"/>
      <c r="J25" s="2131"/>
      <c r="K25" s="2132"/>
      <c r="L25" s="1148"/>
      <c r="M25" s="2131"/>
      <c r="N25" s="2132"/>
      <c r="P25" s="2131">
        <f>G25-S25</f>
        <v>450000</v>
      </c>
      <c r="Q25" s="2132"/>
      <c r="S25" s="2095">
        <v>50000</v>
      </c>
      <c r="T25" s="2096"/>
      <c r="V25" s="2125"/>
      <c r="W25" s="2126"/>
      <c r="X25" s="2127"/>
    </row>
    <row r="26" spans="2:24" s="362" customFormat="1" ht="12.6" customHeight="1" thickBot="1">
      <c r="B26" s="362" t="s">
        <v>1188</v>
      </c>
      <c r="G26" s="2095"/>
      <c r="H26" s="2096"/>
      <c r="J26" s="2131"/>
      <c r="K26" s="2132"/>
      <c r="L26" s="424"/>
      <c r="M26" s="1306"/>
      <c r="N26" s="1306"/>
      <c r="P26" s="1306"/>
      <c r="Q26" s="1306"/>
      <c r="S26" s="2095"/>
      <c r="T26" s="2096"/>
      <c r="V26" s="2125"/>
      <c r="W26" s="2128"/>
      <c r="X26" s="2129"/>
    </row>
    <row r="27" spans="2:24" s="362" customFormat="1" ht="12.6" customHeight="1" thickTop="1">
      <c r="F27" s="421" t="s">
        <v>200</v>
      </c>
      <c r="G27" s="1304">
        <f>SUM(G25:H26)</f>
        <v>500000</v>
      </c>
      <c r="H27" s="1308"/>
      <c r="J27" s="1304">
        <f>SUM(J25:K26)</f>
        <v>0</v>
      </c>
      <c r="K27" s="1308"/>
      <c r="L27" s="423"/>
      <c r="M27" s="1304">
        <f>M25</f>
        <v>0</v>
      </c>
      <c r="N27" s="1308"/>
      <c r="P27" s="1304">
        <f>P25</f>
        <v>450000</v>
      </c>
      <c r="Q27" s="1308"/>
      <c r="S27" s="1304">
        <f>SUM(S25:T26)</f>
        <v>50000</v>
      </c>
      <c r="T27" s="1308"/>
      <c r="V27" s="2133"/>
      <c r="W27" s="2134"/>
      <c r="X27" s="2135"/>
    </row>
    <row r="28" spans="2:24" s="362" customFormat="1" ht="12" customHeight="1">
      <c r="B28" s="365" t="s">
        <v>1189</v>
      </c>
      <c r="J28" s="423"/>
      <c r="K28" s="420"/>
      <c r="M28" s="423"/>
      <c r="N28" s="420"/>
      <c r="O28" s="422" t="str">
        <f>B28</f>
        <v>STRUCTURES</v>
      </c>
      <c r="P28" s="423"/>
      <c r="Q28" s="420"/>
      <c r="S28" s="423"/>
      <c r="T28" s="420"/>
      <c r="W28" s="362" t="str">
        <f>B28</f>
        <v>STRUCTURES</v>
      </c>
    </row>
    <row r="29" spans="2:24" s="362" customFormat="1" ht="12.6" customHeight="1">
      <c r="B29" s="362" t="s">
        <v>1190</v>
      </c>
      <c r="G29" s="2095"/>
      <c r="H29" s="2096"/>
      <c r="J29" s="2095"/>
      <c r="K29" s="2096"/>
      <c r="L29" s="1148"/>
      <c r="M29" s="2095"/>
      <c r="N29" s="2096"/>
      <c r="P29" s="2095"/>
      <c r="Q29" s="2096"/>
      <c r="S29" s="2095"/>
      <c r="T29" s="2096"/>
      <c r="V29" s="2125"/>
      <c r="W29" s="2126"/>
      <c r="X29" s="2127"/>
    </row>
    <row r="30" spans="2:24" s="362" customFormat="1" ht="12.6" customHeight="1">
      <c r="B30" s="362" t="s">
        <v>1191</v>
      </c>
      <c r="G30" s="2095">
        <v>5267252</v>
      </c>
      <c r="H30" s="2096"/>
      <c r="J30" s="2095"/>
      <c r="K30" s="2096"/>
      <c r="L30" s="1148"/>
      <c r="M30" s="2095"/>
      <c r="N30" s="2096"/>
      <c r="P30" s="2095">
        <f>G30</f>
        <v>5267252</v>
      </c>
      <c r="Q30" s="2096"/>
      <c r="S30" s="2095"/>
      <c r="T30" s="2096"/>
      <c r="V30" s="2125"/>
      <c r="W30" s="2128"/>
      <c r="X30" s="2129"/>
    </row>
    <row r="31" spans="2:24" s="362" customFormat="1" ht="12.6" customHeight="1">
      <c r="B31" s="362" t="s">
        <v>3231</v>
      </c>
      <c r="G31" s="2095"/>
      <c r="H31" s="2096"/>
      <c r="J31" s="2095"/>
      <c r="K31" s="2096"/>
      <c r="L31" s="1148"/>
      <c r="M31" s="2095"/>
      <c r="N31" s="2096"/>
      <c r="P31" s="2095"/>
      <c r="Q31" s="2096"/>
      <c r="S31" s="2095"/>
      <c r="T31" s="2096"/>
      <c r="V31" s="2125"/>
      <c r="W31" s="2128"/>
      <c r="X31" s="2129"/>
    </row>
    <row r="32" spans="2:24" ht="12.6" customHeight="1" thickBot="1">
      <c r="B32" s="362" t="s">
        <v>3230</v>
      </c>
      <c r="G32" s="2095"/>
      <c r="H32" s="2096"/>
      <c r="I32" s="362"/>
      <c r="J32" s="2095"/>
      <c r="K32" s="2096"/>
      <c r="L32" s="1148"/>
      <c r="M32" s="2095"/>
      <c r="N32" s="2096"/>
      <c r="O32" s="362"/>
      <c r="P32" s="2095"/>
      <c r="Q32" s="2096"/>
      <c r="R32" s="362"/>
      <c r="S32" s="2095"/>
      <c r="T32" s="2096"/>
      <c r="V32" s="2125"/>
      <c r="W32" s="2128"/>
      <c r="X32" s="2129"/>
    </row>
    <row r="33" spans="1:24" s="362" customFormat="1" ht="12.6" customHeight="1" thickTop="1">
      <c r="C33" s="1369"/>
      <c r="D33" s="1369"/>
      <c r="E33" s="1150"/>
      <c r="F33" s="421" t="s">
        <v>200</v>
      </c>
      <c r="G33" s="1304">
        <f>SUM(G29:H32)</f>
        <v>5267252</v>
      </c>
      <c r="H33" s="1308"/>
      <c r="J33" s="1304">
        <f>SUM(J29:K32)</f>
        <v>0</v>
      </c>
      <c r="K33" s="1308"/>
      <c r="L33" s="1148"/>
      <c r="M33" s="1304">
        <f>SUM(M29:N32)</f>
        <v>0</v>
      </c>
      <c r="N33" s="1308"/>
      <c r="P33" s="1304">
        <f>SUM(P29:Q32)</f>
        <v>5267252</v>
      </c>
      <c r="Q33" s="1308"/>
      <c r="S33" s="1304">
        <f>SUM(S29:T32)</f>
        <v>0</v>
      </c>
      <c r="T33" s="1308"/>
      <c r="V33" s="2133"/>
      <c r="W33" s="2134"/>
      <c r="X33" s="2135"/>
    </row>
    <row r="34" spans="1:24" s="362" customFormat="1" ht="12" customHeight="1">
      <c r="B34" s="365" t="s">
        <v>2495</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2496</v>
      </c>
      <c r="E35" s="425">
        <f>'DCA Underwriting Assumptions'!$R$37</f>
        <v>0.06</v>
      </c>
      <c r="F35" s="484">
        <f>E35*($G$27+$G$33)</f>
        <v>346035.12</v>
      </c>
      <c r="G35" s="2095">
        <f>F35</f>
        <v>346035.12</v>
      </c>
      <c r="H35" s="2096"/>
      <c r="I35" s="382"/>
      <c r="J35" s="2095"/>
      <c r="K35" s="2096"/>
      <c r="L35" s="1148"/>
      <c r="M35" s="2095"/>
      <c r="N35" s="2096"/>
      <c r="P35" s="2095">
        <f>G35</f>
        <v>346035.12</v>
      </c>
      <c r="Q35" s="2096"/>
      <c r="S35" s="2095"/>
      <c r="T35" s="2096"/>
      <c r="V35" s="2125"/>
      <c r="W35" s="2126"/>
      <c r="X35" s="2127"/>
    </row>
    <row r="36" spans="1:24" s="362" customFormat="1" ht="12.6" customHeight="1">
      <c r="B36" s="362" t="s">
        <v>3008</v>
      </c>
      <c r="E36" s="483">
        <f>'DCA Underwriting Assumptions'!$R$38</f>
        <v>0.02</v>
      </c>
      <c r="F36" s="484">
        <f>E36*($G$27+$G$33)</f>
        <v>115345.04000000001</v>
      </c>
      <c r="G36" s="2095">
        <f>F36</f>
        <v>115345.04000000001</v>
      </c>
      <c r="H36" s="2096"/>
      <c r="I36" s="382"/>
      <c r="J36" s="2095"/>
      <c r="K36" s="2096"/>
      <c r="L36" s="1148"/>
      <c r="M36" s="2095"/>
      <c r="N36" s="2096"/>
      <c r="P36" s="2095">
        <f t="shared" ref="P36:P37" si="1">G36</f>
        <v>115345.04000000001</v>
      </c>
      <c r="Q36" s="2096"/>
      <c r="S36" s="2095"/>
      <c r="T36" s="2096"/>
      <c r="V36" s="2125"/>
      <c r="W36" s="2128"/>
      <c r="X36" s="2129"/>
    </row>
    <row r="37" spans="1:24" s="362" customFormat="1" ht="12.6" customHeight="1" thickBot="1">
      <c r="B37" s="362" t="s">
        <v>3009</v>
      </c>
      <c r="E37" s="483">
        <f>'DCA Underwriting Assumptions'!$R$39</f>
        <v>0.06</v>
      </c>
      <c r="F37" s="484">
        <f>E37*($G$27+$G$33)</f>
        <v>346035.12</v>
      </c>
      <c r="G37" s="2095">
        <f>F37</f>
        <v>346035.12</v>
      </c>
      <c r="H37" s="2096"/>
      <c r="I37" s="382"/>
      <c r="J37" s="2095"/>
      <c r="K37" s="2096"/>
      <c r="L37" s="1148"/>
      <c r="M37" s="2095"/>
      <c r="N37" s="2096"/>
      <c r="P37" s="2095">
        <f t="shared" si="1"/>
        <v>346035.12</v>
      </c>
      <c r="Q37" s="2096"/>
      <c r="S37" s="2095"/>
      <c r="T37" s="2096"/>
      <c r="V37" s="2125"/>
      <c r="W37" s="2128"/>
      <c r="X37" s="2129"/>
    </row>
    <row r="38" spans="1:24" s="362" customFormat="1" ht="12.6" customHeight="1" thickTop="1">
      <c r="B38" s="362" t="s">
        <v>2178</v>
      </c>
      <c r="D38" s="428"/>
      <c r="E38" s="1142"/>
      <c r="F38" s="485" t="s">
        <v>200</v>
      </c>
      <c r="G38" s="1304">
        <f>SUM(G35:H37)</f>
        <v>807415.28</v>
      </c>
      <c r="H38" s="1308"/>
      <c r="J38" s="1304">
        <f>SUM(J35:K37)</f>
        <v>0</v>
      </c>
      <c r="K38" s="1308"/>
      <c r="L38" s="423"/>
      <c r="M38" s="1304">
        <f>SUM(M35:N37)</f>
        <v>0</v>
      </c>
      <c r="N38" s="1308"/>
      <c r="P38" s="1304">
        <f>SUM(P35:Q37)</f>
        <v>807415.28</v>
      </c>
      <c r="Q38" s="1308"/>
      <c r="S38" s="1304">
        <f>SUM(S35:T37)</f>
        <v>0</v>
      </c>
      <c r="T38" s="1308"/>
      <c r="V38" s="2133"/>
      <c r="W38" s="2134"/>
      <c r="X38" s="2135"/>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792</v>
      </c>
      <c r="C41" s="1956" t="s">
        <v>2579</v>
      </c>
      <c r="D41" s="2138"/>
      <c r="E41" s="2138"/>
      <c r="F41" s="2067"/>
      <c r="G41" s="2095"/>
      <c r="H41" s="2096"/>
      <c r="I41" s="362"/>
      <c r="J41" s="2095"/>
      <c r="K41" s="2096"/>
      <c r="L41" s="1148"/>
      <c r="M41" s="2095"/>
      <c r="N41" s="2096"/>
      <c r="O41" s="362"/>
      <c r="P41" s="2095"/>
      <c r="Q41" s="2096"/>
      <c r="R41" s="362"/>
      <c r="S41" s="2095"/>
      <c r="T41" s="2096"/>
      <c r="V41" s="2125"/>
      <c r="W41" s="2126"/>
      <c r="X41" s="2127"/>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28"/>
      <c r="X42" s="2129"/>
    </row>
    <row r="43" spans="1:24" s="362" customFormat="1" ht="12.6" customHeight="1">
      <c r="B43" s="665" t="s">
        <v>3019</v>
      </c>
      <c r="C43" s="666"/>
      <c r="E43" s="1339" t="s">
        <v>3018</v>
      </c>
      <c r="F43" s="1151">
        <f>B44/'Part VI-Revenues &amp; Expenses'!$M$60</f>
        <v>49808.085454545457</v>
      </c>
      <c r="G43" s="663" t="s">
        <v>3222</v>
      </c>
      <c r="H43" s="621"/>
      <c r="I43" s="621"/>
      <c r="J43" s="1343">
        <f>B44/'Part VI-Revenues &amp; Expenses'!$M$62</f>
        <v>49808.085454545457</v>
      </c>
      <c r="K43" s="1343"/>
      <c r="L43" s="621"/>
      <c r="M43" s="1341" t="s">
        <v>1493</v>
      </c>
      <c r="N43" s="1341"/>
      <c r="O43" s="621"/>
      <c r="P43" s="1343">
        <f>B44/'Part I-Project Information'!$P$59</f>
        <v>61.910686654864591</v>
      </c>
      <c r="Q43" s="1343"/>
      <c r="R43" s="621"/>
      <c r="S43" s="1309" t="s">
        <v>3229</v>
      </c>
      <c r="T43" s="1310"/>
      <c r="W43" s="2128"/>
      <c r="X43" s="2129"/>
    </row>
    <row r="44" spans="1:24" s="362" customFormat="1" ht="12.6" customHeight="1">
      <c r="B44" s="1327">
        <f>G27+G33+G38+G41</f>
        <v>6574667.2800000003</v>
      </c>
      <c r="C44" s="1328"/>
      <c r="E44" s="1340"/>
      <c r="F44" s="1152">
        <f>B44/'Part VI-Revenues &amp; Expenses'!$M$98</f>
        <v>61.910686654864591</v>
      </c>
      <c r="G44" s="664" t="s">
        <v>3223</v>
      </c>
      <c r="H44" s="1145"/>
      <c r="I44" s="1145"/>
      <c r="J44" s="1338">
        <f>B44/'Part VI-Revenues &amp; Expenses'!$M$100</f>
        <v>61.910686654864591</v>
      </c>
      <c r="K44" s="1338"/>
      <c r="L44" s="1145"/>
      <c r="M44" s="1342" t="s">
        <v>3228</v>
      </c>
      <c r="N44" s="1342"/>
      <c r="O44" s="1145"/>
      <c r="P44" s="1145"/>
      <c r="Q44" s="1145"/>
      <c r="R44" s="1145"/>
      <c r="S44" s="1145"/>
      <c r="T44" s="412"/>
      <c r="W44" s="2134"/>
      <c r="X44" s="2135"/>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1192</v>
      </c>
      <c r="J46" s="423"/>
      <c r="K46" s="420"/>
      <c r="M46" s="423"/>
      <c r="N46" s="420"/>
      <c r="O46" s="422" t="str">
        <f>B46</f>
        <v>CONSTRUCTION CONTINGENCY</v>
      </c>
      <c r="P46" s="423"/>
      <c r="Q46" s="420"/>
      <c r="S46" s="423"/>
      <c r="T46" s="420"/>
      <c r="W46" s="362" t="str">
        <f>B46</f>
        <v>CONSTRUCTION CONTINGENCY</v>
      </c>
    </row>
    <row r="47" spans="1:24" ht="12.6" customHeight="1">
      <c r="B47" s="362" t="s">
        <v>2097</v>
      </c>
      <c r="F47" s="488">
        <f>G47/$B$44</f>
        <v>7.0000000000000007E-2</v>
      </c>
      <c r="G47" s="2095">
        <f>B44*0.07</f>
        <v>460226.70960000006</v>
      </c>
      <c r="H47" s="2096"/>
      <c r="I47" s="362"/>
      <c r="J47" s="2095"/>
      <c r="K47" s="2096"/>
      <c r="L47" s="1148"/>
      <c r="M47" s="2095"/>
      <c r="N47" s="2096"/>
      <c r="O47" s="362"/>
      <c r="P47" s="2095">
        <f>G47</f>
        <v>460226.70960000006</v>
      </c>
      <c r="Q47" s="2096"/>
      <c r="R47" s="362"/>
      <c r="S47" s="2095"/>
      <c r="T47" s="2096"/>
      <c r="V47" s="2125"/>
      <c r="W47" s="2139"/>
      <c r="X47" s="2140"/>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658</v>
      </c>
      <c r="B50" s="524" t="s">
        <v>3395</v>
      </c>
      <c r="H50" s="1142"/>
      <c r="I50" s="1142"/>
      <c r="J50" s="1312" t="s">
        <v>286</v>
      </c>
      <c r="K50" s="1313"/>
      <c r="L50" s="420"/>
      <c r="M50" s="1331" t="s">
        <v>521</v>
      </c>
      <c r="N50" s="1332"/>
      <c r="P50" s="1312" t="s">
        <v>287</v>
      </c>
      <c r="Q50" s="1313"/>
      <c r="S50" s="1312" t="s">
        <v>288</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2893</v>
      </c>
      <c r="X51" s="1307"/>
    </row>
    <row r="52" spans="1:24" s="362" customFormat="1" ht="12" customHeight="1">
      <c r="B52" s="365" t="s">
        <v>773</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2498</v>
      </c>
      <c r="G53" s="2095">
        <v>93000</v>
      </c>
      <c r="H53" s="2096"/>
      <c r="J53" s="2095"/>
      <c r="K53" s="2096"/>
      <c r="L53" s="1148"/>
      <c r="M53" s="2095"/>
      <c r="N53" s="2096"/>
      <c r="P53" s="2095"/>
      <c r="Q53" s="2096"/>
      <c r="S53" s="2095"/>
      <c r="T53" s="2096"/>
      <c r="V53" s="2125"/>
      <c r="W53" s="2126"/>
      <c r="X53" s="2127"/>
    </row>
    <row r="54" spans="1:24" s="362" customFormat="1" ht="12" customHeight="1">
      <c r="B54" s="362" t="s">
        <v>2499</v>
      </c>
      <c r="G54" s="2095">
        <v>134807</v>
      </c>
      <c r="H54" s="2096"/>
      <c r="J54" s="2095"/>
      <c r="K54" s="2096"/>
      <c r="L54" s="1148"/>
      <c r="M54" s="2095"/>
      <c r="N54" s="2096"/>
      <c r="P54" s="2095">
        <v>33702</v>
      </c>
      <c r="Q54" s="2096"/>
      <c r="S54" s="2095">
        <f>G54-P54</f>
        <v>101105</v>
      </c>
      <c r="T54" s="2096"/>
      <c r="V54" s="2125"/>
      <c r="W54" s="2128"/>
      <c r="X54" s="2129"/>
    </row>
    <row r="55" spans="1:24" s="362" customFormat="1" ht="12" customHeight="1">
      <c r="B55" s="362" t="s">
        <v>2500</v>
      </c>
      <c r="G55" s="2095">
        <v>0</v>
      </c>
      <c r="H55" s="2096"/>
      <c r="J55" s="2095"/>
      <c r="K55" s="2096"/>
      <c r="L55" s="1148"/>
      <c r="M55" s="2095"/>
      <c r="N55" s="2096"/>
      <c r="P55" s="2095"/>
      <c r="Q55" s="2096"/>
      <c r="S55" s="2095"/>
      <c r="T55" s="2096"/>
      <c r="V55" s="2125"/>
      <c r="W55" s="2128"/>
      <c r="X55" s="2129"/>
    </row>
    <row r="56" spans="1:24" s="362" customFormat="1" ht="12" customHeight="1">
      <c r="B56" s="362" t="s">
        <v>2915</v>
      </c>
      <c r="G56" s="2095">
        <v>12000</v>
      </c>
      <c r="H56" s="2096"/>
      <c r="J56" s="2095"/>
      <c r="K56" s="2096"/>
      <c r="L56" s="1148"/>
      <c r="M56" s="2095"/>
      <c r="N56" s="2096"/>
      <c r="P56" s="2095">
        <f>G56</f>
        <v>12000</v>
      </c>
      <c r="Q56" s="2096"/>
      <c r="S56" s="2095"/>
      <c r="T56" s="2096"/>
      <c r="V56" s="2125"/>
      <c r="W56" s="2128"/>
      <c r="X56" s="2129"/>
    </row>
    <row r="57" spans="1:24" s="362" customFormat="1" ht="12" customHeight="1">
      <c r="B57" s="362" t="s">
        <v>774</v>
      </c>
      <c r="G57" s="2095">
        <v>45000</v>
      </c>
      <c r="H57" s="2096"/>
      <c r="J57" s="2095"/>
      <c r="K57" s="2096"/>
      <c r="L57" s="1148"/>
      <c r="M57" s="2095"/>
      <c r="N57" s="2096"/>
      <c r="P57" s="2095">
        <v>9000</v>
      </c>
      <c r="Q57" s="2096"/>
      <c r="S57" s="2095">
        <f>G57-P57</f>
        <v>36000</v>
      </c>
      <c r="T57" s="2096"/>
      <c r="V57" s="2125"/>
      <c r="W57" s="2128"/>
      <c r="X57" s="2129"/>
    </row>
    <row r="58" spans="1:24" s="362" customFormat="1" ht="12" customHeight="1">
      <c r="B58" s="362" t="s">
        <v>2501</v>
      </c>
      <c r="G58" s="2095"/>
      <c r="H58" s="2096"/>
      <c r="J58" s="2095"/>
      <c r="K58" s="2096"/>
      <c r="L58" s="1148"/>
      <c r="M58" s="2095"/>
      <c r="N58" s="2096"/>
      <c r="P58" s="2095"/>
      <c r="Q58" s="2096"/>
      <c r="S58" s="2095"/>
      <c r="T58" s="2096"/>
      <c r="V58" s="2125"/>
      <c r="W58" s="2128"/>
      <c r="X58" s="2129"/>
    </row>
    <row r="59" spans="1:24" s="362" customFormat="1" ht="12" customHeight="1">
      <c r="B59" s="362" t="s">
        <v>1357</v>
      </c>
      <c r="G59" s="2095">
        <v>47154</v>
      </c>
      <c r="H59" s="2096"/>
      <c r="J59" s="2095"/>
      <c r="K59" s="2096"/>
      <c r="L59" s="1148"/>
      <c r="M59" s="2095"/>
      <c r="N59" s="2096"/>
      <c r="P59" s="2095">
        <v>40081</v>
      </c>
      <c r="Q59" s="2096"/>
      <c r="S59" s="2095">
        <f>G59-P59</f>
        <v>7073</v>
      </c>
      <c r="T59" s="2096"/>
      <c r="V59" s="2125"/>
      <c r="W59" s="2128"/>
      <c r="X59" s="2129"/>
    </row>
    <row r="60" spans="1:24" s="362" customFormat="1" ht="12" customHeight="1">
      <c r="B60" s="362" t="s">
        <v>296</v>
      </c>
      <c r="G60" s="2095"/>
      <c r="H60" s="2096"/>
      <c r="J60" s="2095"/>
      <c r="K60" s="2096"/>
      <c r="L60" s="1148"/>
      <c r="M60" s="2095"/>
      <c r="N60" s="2096"/>
      <c r="P60" s="2095"/>
      <c r="Q60" s="2096"/>
      <c r="S60" s="2095"/>
      <c r="T60" s="2096"/>
      <c r="V60" s="2125"/>
      <c r="W60" s="2128"/>
      <c r="X60" s="2129"/>
    </row>
    <row r="61" spans="1:24" s="362" customFormat="1" ht="12" customHeight="1">
      <c r="B61" s="427" t="s">
        <v>1223</v>
      </c>
      <c r="D61" s="425"/>
      <c r="E61" s="425"/>
      <c r="F61" s="426"/>
      <c r="G61" s="2095"/>
      <c r="H61" s="2096"/>
      <c r="I61" s="382"/>
      <c r="J61" s="2095"/>
      <c r="K61" s="2096"/>
      <c r="L61" s="1148"/>
      <c r="M61" s="2095"/>
      <c r="N61" s="2096"/>
      <c r="P61" s="2095"/>
      <c r="Q61" s="2096"/>
      <c r="S61" s="2095"/>
      <c r="T61" s="2096"/>
      <c r="V61" s="2125"/>
      <c r="W61" s="2128"/>
      <c r="X61" s="2129"/>
    </row>
    <row r="62" spans="1:24" s="362" customFormat="1" ht="12" customHeight="1">
      <c r="A62" s="448" t="str">
        <f>IF(AND(G62&gt;0,OR(C62="",C62="&lt;Enter detailed description here; use Comments section if needed&gt;")),"X","")</f>
        <v/>
      </c>
      <c r="B62" s="362" t="s">
        <v>792</v>
      </c>
      <c r="C62" s="1956" t="s">
        <v>3763</v>
      </c>
      <c r="D62" s="1956"/>
      <c r="E62" s="1956"/>
      <c r="F62" s="1957"/>
      <c r="G62" s="2095">
        <v>0</v>
      </c>
      <c r="H62" s="2096"/>
      <c r="J62" s="2095"/>
      <c r="K62" s="2096"/>
      <c r="L62" s="1148"/>
      <c r="M62" s="2095"/>
      <c r="N62" s="2096"/>
      <c r="P62" s="2095"/>
      <c r="Q62" s="2096"/>
      <c r="S62" s="2095">
        <f>G62</f>
        <v>0</v>
      </c>
      <c r="T62" s="2096"/>
      <c r="U62" s="447" t="str">
        <f>IF(AND(G62&gt;0,OR(C62="",C62="&lt;Enter detailed description here; use Comments section if needed&gt;")),"NO DESCRIPTION PROVIDED - please enter detailed description in Other box at left; use Comments section below if needed.","")</f>
        <v/>
      </c>
      <c r="V62" s="2125"/>
      <c r="W62" s="2128"/>
      <c r="X62" s="2129"/>
    </row>
    <row r="63" spans="1:24" s="362" customFormat="1" ht="12" customHeight="1" thickBot="1">
      <c r="A63" s="448" t="str">
        <f>IF(AND(G63&gt;0,OR(C63="",C63="&lt;Enter detailed description here; use Comments section if needed&gt;")),"X","")</f>
        <v/>
      </c>
      <c r="B63" s="362" t="s">
        <v>792</v>
      </c>
      <c r="C63" s="1956" t="s">
        <v>3764</v>
      </c>
      <c r="D63" s="1956"/>
      <c r="E63" s="1956"/>
      <c r="F63" s="1957"/>
      <c r="G63" s="2095">
        <v>25000</v>
      </c>
      <c r="H63" s="2096"/>
      <c r="J63" s="2095"/>
      <c r="K63" s="2096"/>
      <c r="L63" s="1148"/>
      <c r="M63" s="2095"/>
      <c r="N63" s="2096"/>
      <c r="P63" s="2095">
        <f>G63</f>
        <v>25000</v>
      </c>
      <c r="Q63" s="2096"/>
      <c r="S63" s="2095"/>
      <c r="T63" s="2096"/>
      <c r="U63" s="447" t="str">
        <f>IF(AND(G63&gt;0,OR(C63="",C63="&lt;Enter detailed description here; use Comments section if needed&gt;")),"NO DESCRIPTION PROVIDED - please enter detailed description in Other box at left; use Comments section below if needed.","")</f>
        <v/>
      </c>
      <c r="V63" s="2125"/>
      <c r="W63" s="2128"/>
      <c r="X63" s="2129"/>
    </row>
    <row r="64" spans="1:24" s="362" customFormat="1" ht="12" customHeight="1" thickTop="1">
      <c r="F64" s="421" t="s">
        <v>200</v>
      </c>
      <c r="G64" s="1304">
        <f>SUM(G53:H63)</f>
        <v>356961</v>
      </c>
      <c r="H64" s="1308"/>
      <c r="J64" s="1304">
        <f>SUM(J53:K63)</f>
        <v>0</v>
      </c>
      <c r="K64" s="1308"/>
      <c r="L64" s="423"/>
      <c r="M64" s="1304">
        <f>SUM(M53:N63)</f>
        <v>0</v>
      </c>
      <c r="N64" s="1308"/>
      <c r="P64" s="1304">
        <f>SUM(P53:Q63)</f>
        <v>119783</v>
      </c>
      <c r="Q64" s="1308"/>
      <c r="S64" s="1304">
        <f>SUM(S53:T63)</f>
        <v>144178</v>
      </c>
      <c r="T64" s="1308"/>
      <c r="V64" s="2133"/>
      <c r="W64" s="2134"/>
      <c r="X64" s="2135"/>
    </row>
    <row r="65" spans="1:24" s="362" customFormat="1" ht="12" customHeight="1">
      <c r="B65" s="365" t="s">
        <v>506</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507</v>
      </c>
      <c r="G66" s="2095">
        <v>165000</v>
      </c>
      <c r="H66" s="2096"/>
      <c r="J66" s="2095"/>
      <c r="K66" s="2096"/>
      <c r="L66" s="1148"/>
      <c r="M66" s="2095"/>
      <c r="N66" s="2096"/>
      <c r="P66" s="2095">
        <f>G66</f>
        <v>165000</v>
      </c>
      <c r="Q66" s="2096"/>
      <c r="S66" s="2095"/>
      <c r="T66" s="2096"/>
      <c r="V66" s="2125"/>
      <c r="W66" s="2126"/>
      <c r="X66" s="2127"/>
    </row>
    <row r="67" spans="1:24" s="362" customFormat="1" ht="12" customHeight="1">
      <c r="B67" s="362" t="s">
        <v>508</v>
      </c>
      <c r="G67" s="2095">
        <v>26400</v>
      </c>
      <c r="H67" s="2096"/>
      <c r="J67" s="2095"/>
      <c r="K67" s="2096"/>
      <c r="L67" s="1148"/>
      <c r="M67" s="2095"/>
      <c r="N67" s="2096"/>
      <c r="P67" s="2095">
        <f t="shared" ref="P67:P76" si="2">G67</f>
        <v>26400</v>
      </c>
      <c r="Q67" s="2096"/>
      <c r="S67" s="2095"/>
      <c r="T67" s="2096"/>
      <c r="V67" s="2125"/>
      <c r="W67" s="2128"/>
      <c r="X67" s="2129"/>
    </row>
    <row r="68" spans="1:24" s="362" customFormat="1" ht="12" customHeight="1">
      <c r="B68" s="362" t="s">
        <v>1194</v>
      </c>
      <c r="F68" s="362" t="s">
        <v>3148</v>
      </c>
      <c r="G68" s="2095">
        <v>20000</v>
      </c>
      <c r="H68" s="2096"/>
      <c r="J68" s="2095"/>
      <c r="K68" s="2096"/>
      <c r="L68" s="1148"/>
      <c r="M68" s="2095"/>
      <c r="N68" s="2096"/>
      <c r="P68" s="2095">
        <f t="shared" si="2"/>
        <v>20000</v>
      </c>
      <c r="Q68" s="2096"/>
      <c r="S68" s="2095"/>
      <c r="T68" s="2096"/>
      <c r="V68" s="2125"/>
      <c r="W68" s="2128"/>
      <c r="X68" s="2129"/>
    </row>
    <row r="69" spans="1:24" s="362" customFormat="1" ht="12" customHeight="1">
      <c r="B69" s="362" t="s">
        <v>1195</v>
      </c>
      <c r="G69" s="2095">
        <v>10000</v>
      </c>
      <c r="H69" s="2096"/>
      <c r="J69" s="2095"/>
      <c r="K69" s="2096"/>
      <c r="L69" s="1148"/>
      <c r="M69" s="2095"/>
      <c r="N69" s="2096"/>
      <c r="P69" s="2095">
        <f t="shared" si="2"/>
        <v>10000</v>
      </c>
      <c r="Q69" s="2096"/>
      <c r="S69" s="2095"/>
      <c r="T69" s="2096"/>
      <c r="V69" s="2125"/>
      <c r="W69" s="2128"/>
      <c r="X69" s="2129"/>
    </row>
    <row r="70" spans="1:24" s="362" customFormat="1" ht="12" customHeight="1">
      <c r="B70" s="362" t="s">
        <v>1196</v>
      </c>
      <c r="G70" s="2095">
        <v>10000</v>
      </c>
      <c r="H70" s="2096"/>
      <c r="J70" s="2095"/>
      <c r="K70" s="2096"/>
      <c r="L70" s="1148"/>
      <c r="M70" s="2095"/>
      <c r="N70" s="2096"/>
      <c r="P70" s="2095">
        <f t="shared" si="2"/>
        <v>10000</v>
      </c>
      <c r="Q70" s="2096"/>
      <c r="S70" s="2095"/>
      <c r="T70" s="2096"/>
      <c r="V70" s="2125"/>
      <c r="W70" s="2128"/>
      <c r="X70" s="2129"/>
    </row>
    <row r="71" spans="1:24" s="362" customFormat="1" ht="12" customHeight="1">
      <c r="B71" s="362" t="s">
        <v>1197</v>
      </c>
      <c r="G71" s="2095">
        <v>10000</v>
      </c>
      <c r="H71" s="2096"/>
      <c r="J71" s="2095"/>
      <c r="K71" s="2096"/>
      <c r="L71" s="1148"/>
      <c r="M71" s="2095"/>
      <c r="N71" s="2096"/>
      <c r="P71" s="2095">
        <f t="shared" si="2"/>
        <v>10000</v>
      </c>
      <c r="Q71" s="2096"/>
      <c r="S71" s="2095"/>
      <c r="T71" s="2096"/>
      <c r="V71" s="2125"/>
      <c r="W71" s="2128"/>
      <c r="X71" s="2129"/>
    </row>
    <row r="72" spans="1:24" s="362" customFormat="1" ht="12" customHeight="1">
      <c r="B72" s="362" t="s">
        <v>509</v>
      </c>
      <c r="G72" s="2095">
        <v>20000</v>
      </c>
      <c r="H72" s="2096"/>
      <c r="J72" s="2095"/>
      <c r="K72" s="2096"/>
      <c r="L72" s="1148"/>
      <c r="M72" s="2095"/>
      <c r="N72" s="2096"/>
      <c r="P72" s="2095">
        <f t="shared" si="2"/>
        <v>20000</v>
      </c>
      <c r="Q72" s="2096"/>
      <c r="S72" s="2095"/>
      <c r="T72" s="2096"/>
      <c r="V72" s="2125"/>
      <c r="W72" s="2128"/>
      <c r="X72" s="2129"/>
    </row>
    <row r="73" spans="1:24" s="362" customFormat="1" ht="12" customHeight="1">
      <c r="B73" s="362" t="s">
        <v>510</v>
      </c>
      <c r="G73" s="2095">
        <v>70000</v>
      </c>
      <c r="H73" s="2096"/>
      <c r="J73" s="2095"/>
      <c r="K73" s="2096"/>
      <c r="L73" s="1148"/>
      <c r="M73" s="2095"/>
      <c r="N73" s="2096"/>
      <c r="P73" s="2095">
        <v>42000</v>
      </c>
      <c r="Q73" s="2096"/>
      <c r="S73" s="2095">
        <f>G73-P73</f>
        <v>28000</v>
      </c>
      <c r="T73" s="2096"/>
      <c r="V73" s="2125"/>
      <c r="W73" s="2128"/>
      <c r="X73" s="2129"/>
    </row>
    <row r="74" spans="1:24" s="362" customFormat="1" ht="12" customHeight="1">
      <c r="B74" s="362" t="s">
        <v>2188</v>
      </c>
      <c r="G74" s="2095">
        <v>17500</v>
      </c>
      <c r="H74" s="2096"/>
      <c r="J74" s="2095"/>
      <c r="K74" s="2096"/>
      <c r="L74" s="1148"/>
      <c r="M74" s="2095"/>
      <c r="N74" s="2096"/>
      <c r="P74" s="2095">
        <f t="shared" si="2"/>
        <v>17500</v>
      </c>
      <c r="Q74" s="2096"/>
      <c r="S74" s="2095"/>
      <c r="T74" s="2096"/>
      <c r="V74" s="2125"/>
      <c r="W74" s="2128"/>
      <c r="X74" s="2129"/>
    </row>
    <row r="75" spans="1:24" s="362" customFormat="1" ht="12" customHeight="1">
      <c r="B75" s="362" t="s">
        <v>1358</v>
      </c>
      <c r="G75" s="2095">
        <v>10000</v>
      </c>
      <c r="H75" s="2096"/>
      <c r="J75" s="2095"/>
      <c r="K75" s="2096"/>
      <c r="L75" s="1148"/>
      <c r="M75" s="2095"/>
      <c r="N75" s="2096"/>
      <c r="P75" s="2095">
        <f t="shared" si="2"/>
        <v>10000</v>
      </c>
      <c r="Q75" s="2096"/>
      <c r="S75" s="2095"/>
      <c r="T75" s="2096"/>
      <c r="V75" s="2125"/>
      <c r="W75" s="2128"/>
      <c r="X75" s="2129"/>
    </row>
    <row r="76" spans="1:24" s="362" customFormat="1" ht="12" customHeight="1" thickBot="1">
      <c r="A76" s="448" t="str">
        <f>IF(AND(G76&gt;0,OR(C76="",C76="&lt;Enter detailed description here; use Comments section if needed&gt;")),"X","")</f>
        <v/>
      </c>
      <c r="B76" s="362" t="s">
        <v>792</v>
      </c>
      <c r="C76" s="1956" t="s">
        <v>3765</v>
      </c>
      <c r="D76" s="1956"/>
      <c r="E76" s="1956"/>
      <c r="F76" s="1957"/>
      <c r="G76" s="2095">
        <v>15000</v>
      </c>
      <c r="H76" s="2096"/>
      <c r="J76" s="2095"/>
      <c r="K76" s="2096"/>
      <c r="L76" s="1148"/>
      <c r="M76" s="2095"/>
      <c r="N76" s="2096"/>
      <c r="P76" s="2095">
        <f t="shared" si="2"/>
        <v>15000</v>
      </c>
      <c r="Q76" s="2096"/>
      <c r="S76" s="2095"/>
      <c r="T76" s="2096"/>
      <c r="U76" s="447" t="str">
        <f>IF(AND(G76&gt;0,OR(C76="",C76="&lt;Enter detailed description here; use Comments section if needed&gt;")),"NO DESCRIPTION PROVIDED - please enter detailed description in Other box at left; use Comments section below if needed.","")</f>
        <v/>
      </c>
      <c r="V76" s="2125"/>
      <c r="W76" s="2128"/>
      <c r="X76" s="2129"/>
    </row>
    <row r="77" spans="1:24" s="362" customFormat="1" ht="12" customHeight="1" thickTop="1">
      <c r="F77" s="421" t="s">
        <v>200</v>
      </c>
      <c r="G77" s="1304">
        <f>SUM(G66:H76)</f>
        <v>373900</v>
      </c>
      <c r="H77" s="1308"/>
      <c r="J77" s="1304">
        <f>SUM(J66:K76)</f>
        <v>0</v>
      </c>
      <c r="K77" s="1308"/>
      <c r="L77" s="423"/>
      <c r="M77" s="1304">
        <f>SUM(M66:N76)</f>
        <v>0</v>
      </c>
      <c r="N77" s="1308"/>
      <c r="P77" s="1304">
        <f>SUM(P66:Q76)</f>
        <v>345900</v>
      </c>
      <c r="Q77" s="1308"/>
      <c r="S77" s="1304">
        <f>SUM(S66:T76)</f>
        <v>28000</v>
      </c>
      <c r="T77" s="1308"/>
      <c r="V77" s="2133"/>
      <c r="W77" s="2134"/>
      <c r="X77" s="2135"/>
    </row>
    <row r="78" spans="1:24" ht="12" customHeight="1">
      <c r="A78" s="362"/>
      <c r="B78" s="365" t="s">
        <v>1350</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1351</v>
      </c>
      <c r="G79" s="2095">
        <v>25000</v>
      </c>
      <c r="H79" s="2096"/>
      <c r="J79" s="2095"/>
      <c r="K79" s="2096"/>
      <c r="L79" s="1148"/>
      <c r="M79" s="2095"/>
      <c r="N79" s="2096"/>
      <c r="P79" s="2095">
        <f>G79</f>
        <v>25000</v>
      </c>
      <c r="Q79" s="2096"/>
      <c r="S79" s="2095"/>
      <c r="T79" s="2096"/>
      <c r="V79" s="2125"/>
      <c r="W79" s="1748"/>
      <c r="X79" s="1749"/>
    </row>
    <row r="80" spans="1:24" s="362" customFormat="1" ht="12" customHeight="1">
      <c r="B80" s="362" t="s">
        <v>1352</v>
      </c>
      <c r="G80" s="2095"/>
      <c r="H80" s="2096"/>
      <c r="J80" s="2095"/>
      <c r="K80" s="2096"/>
      <c r="L80" s="1148"/>
      <c r="M80" s="2095"/>
      <c r="N80" s="2096"/>
      <c r="P80" s="2095"/>
      <c r="Q80" s="2096"/>
      <c r="S80" s="2095"/>
      <c r="T80" s="2096"/>
      <c r="V80" s="2125"/>
      <c r="W80" s="1756"/>
      <c r="X80" s="1757"/>
    </row>
    <row r="81" spans="1:24" s="362" customFormat="1" ht="12" customHeight="1">
      <c r="B81" s="362" t="s">
        <v>1353</v>
      </c>
      <c r="D81" s="430" t="s">
        <v>1494</v>
      </c>
      <c r="E81" s="2141"/>
      <c r="G81" s="2095">
        <v>10000</v>
      </c>
      <c r="H81" s="2096"/>
      <c r="I81" s="382"/>
      <c r="J81" s="2095"/>
      <c r="K81" s="2096"/>
      <c r="L81" s="1148"/>
      <c r="M81" s="2095"/>
      <c r="N81" s="2096"/>
      <c r="P81" s="2095">
        <f>G81</f>
        <v>10000</v>
      </c>
      <c r="Q81" s="2096"/>
      <c r="S81" s="2095"/>
      <c r="T81" s="2096"/>
      <c r="V81" s="2125"/>
      <c r="W81" s="1756"/>
      <c r="X81" s="1757"/>
    </row>
    <row r="82" spans="1:24" s="362" customFormat="1" ht="12" customHeight="1" thickBot="1">
      <c r="B82" s="362" t="s">
        <v>1354</v>
      </c>
      <c r="D82" s="430" t="s">
        <v>1494</v>
      </c>
      <c r="E82" s="2141"/>
      <c r="G82" s="2095">
        <v>10000</v>
      </c>
      <c r="H82" s="2096"/>
      <c r="I82" s="382"/>
      <c r="J82" s="2095"/>
      <c r="K82" s="2096"/>
      <c r="L82" s="1148"/>
      <c r="M82" s="2095"/>
      <c r="N82" s="2096"/>
      <c r="P82" s="2095">
        <f>G82</f>
        <v>10000</v>
      </c>
      <c r="Q82" s="2096"/>
      <c r="S82" s="2095"/>
      <c r="T82" s="2096"/>
      <c r="V82" s="2125"/>
      <c r="W82" s="1756"/>
      <c r="X82" s="1757"/>
    </row>
    <row r="83" spans="1:24" s="362" customFormat="1" ht="12" customHeight="1" thickTop="1">
      <c r="F83" s="421" t="s">
        <v>200</v>
      </c>
      <c r="G83" s="1304">
        <f>SUM(G79:H82)</f>
        <v>45000</v>
      </c>
      <c r="H83" s="1308"/>
      <c r="J83" s="1304">
        <f>SUM(J79:K82)</f>
        <v>0</v>
      </c>
      <c r="K83" s="1308"/>
      <c r="L83" s="423"/>
      <c r="M83" s="1304">
        <f>SUM(M79:N82)</f>
        <v>0</v>
      </c>
      <c r="N83" s="1308"/>
      <c r="P83" s="1304">
        <f>SUM(P79:Q82)</f>
        <v>45000</v>
      </c>
      <c r="Q83" s="1308"/>
      <c r="S83" s="1304">
        <f>SUM(S79:T82)</f>
        <v>0</v>
      </c>
      <c r="T83" s="1308"/>
      <c r="V83" s="2133"/>
      <c r="W83" s="1764"/>
      <c r="X83" s="1765"/>
    </row>
    <row r="84" spans="1:24" s="362" customFormat="1" ht="12" customHeight="1">
      <c r="B84" s="365" t="s">
        <v>775</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1355</v>
      </c>
      <c r="G85" s="2095">
        <v>31760</v>
      </c>
      <c r="H85" s="2096"/>
      <c r="J85" s="1311"/>
      <c r="K85" s="1311"/>
      <c r="L85" s="1148"/>
      <c r="M85" s="1311"/>
      <c r="N85" s="1311"/>
      <c r="P85" s="1311"/>
      <c r="Q85" s="1311"/>
      <c r="S85" s="2095">
        <v>31760</v>
      </c>
      <c r="T85" s="2096"/>
      <c r="V85" s="2125"/>
      <c r="W85" s="1748"/>
      <c r="X85" s="1749"/>
    </row>
    <row r="86" spans="1:24" s="362" customFormat="1" ht="12" customHeight="1">
      <c r="B86" s="362" t="s">
        <v>1356</v>
      </c>
      <c r="G86" s="2095"/>
      <c r="H86" s="2096"/>
      <c r="J86" s="1311"/>
      <c r="K86" s="1311"/>
      <c r="L86" s="1148"/>
      <c r="M86" s="1311"/>
      <c r="N86" s="1311"/>
      <c r="P86" s="1311"/>
      <c r="Q86" s="1311"/>
      <c r="S86" s="2095"/>
      <c r="T86" s="2096"/>
      <c r="V86" s="2125"/>
      <c r="W86" s="1756"/>
      <c r="X86" s="1757"/>
    </row>
    <row r="87" spans="1:24" s="362" customFormat="1" ht="12" customHeight="1">
      <c r="B87" s="362" t="s">
        <v>1357</v>
      </c>
      <c r="G87" s="2095"/>
      <c r="H87" s="2096"/>
      <c r="J87" s="1311"/>
      <c r="K87" s="1311"/>
      <c r="L87" s="1148"/>
      <c r="M87" s="1311"/>
      <c r="N87" s="1311"/>
      <c r="P87" s="1311"/>
      <c r="Q87" s="1311"/>
      <c r="S87" s="2095"/>
      <c r="T87" s="2096"/>
      <c r="V87" s="2125"/>
      <c r="W87" s="1756"/>
      <c r="X87" s="1757"/>
    </row>
    <row r="88" spans="1:24" s="362" customFormat="1" ht="12" customHeight="1">
      <c r="B88" s="362" t="s">
        <v>1359</v>
      </c>
      <c r="G88" s="2095"/>
      <c r="H88" s="2096"/>
      <c r="J88" s="1311"/>
      <c r="K88" s="1311"/>
      <c r="L88" s="1148"/>
      <c r="M88" s="1311"/>
      <c r="N88" s="1311"/>
      <c r="P88" s="1311"/>
      <c r="Q88" s="1311"/>
      <c r="S88" s="2095"/>
      <c r="T88" s="2096"/>
      <c r="V88" s="2125"/>
      <c r="W88" s="1756"/>
      <c r="X88" s="1757"/>
    </row>
    <row r="89" spans="1:24" s="362" customFormat="1" ht="12" customHeight="1">
      <c r="B89" s="362" t="s">
        <v>2448</v>
      </c>
      <c r="G89" s="2095"/>
      <c r="H89" s="2096"/>
      <c r="J89" s="1311"/>
      <c r="K89" s="1311"/>
      <c r="L89" s="1148"/>
      <c r="M89" s="1311"/>
      <c r="N89" s="1311"/>
      <c r="P89" s="1311"/>
      <c r="Q89" s="1311"/>
      <c r="S89" s="2095"/>
      <c r="T89" s="2096"/>
      <c r="V89" s="2125"/>
      <c r="W89" s="1756"/>
      <c r="X89" s="1757"/>
    </row>
    <row r="90" spans="1:24" s="362" customFormat="1" ht="12" customHeight="1" thickBot="1">
      <c r="A90" s="448" t="str">
        <f>IF(AND(G90&gt;0,OR(C90="",C90="&lt;Enter detailed description here; use Comments section if needed&gt;")),"X","")</f>
        <v/>
      </c>
      <c r="B90" s="362" t="s">
        <v>792</v>
      </c>
      <c r="C90" s="1956" t="s">
        <v>3763</v>
      </c>
      <c r="D90" s="1956"/>
      <c r="E90" s="1956"/>
      <c r="F90" s="1957"/>
      <c r="G90" s="2095">
        <v>25000</v>
      </c>
      <c r="H90" s="2096"/>
      <c r="J90" s="1311"/>
      <c r="K90" s="1311"/>
      <c r="L90" s="1148"/>
      <c r="M90" s="1311"/>
      <c r="N90" s="1311"/>
      <c r="P90" s="1311"/>
      <c r="Q90" s="1311"/>
      <c r="S90" s="2095">
        <v>25000</v>
      </c>
      <c r="T90" s="2096"/>
      <c r="U90" s="447" t="str">
        <f>IF(AND(G90&gt;0,OR(C90="",C90="&lt;Enter detailed description here; use Comments section if needed&gt;")),"NO DESCRIPTION PROVIDED - please enter detailed description in Other box at left; use Comments section below if needed.","")</f>
        <v/>
      </c>
      <c r="V90" s="2125"/>
      <c r="W90" s="1756"/>
      <c r="X90" s="1757"/>
    </row>
    <row r="91" spans="1:24" s="362" customFormat="1" ht="12" customHeight="1" thickTop="1">
      <c r="F91" s="421" t="s">
        <v>200</v>
      </c>
      <c r="G91" s="1304">
        <f>SUM(G85:H90)</f>
        <v>56760</v>
      </c>
      <c r="H91" s="1308"/>
      <c r="J91" s="1311"/>
      <c r="K91" s="1311"/>
      <c r="L91" s="423"/>
      <c r="M91" s="1311"/>
      <c r="N91" s="1311"/>
      <c r="P91" s="1311"/>
      <c r="Q91" s="1311"/>
      <c r="S91" s="1304">
        <f>SUM(S85:T90)</f>
        <v>56760</v>
      </c>
      <c r="T91" s="1308"/>
      <c r="V91" s="2133"/>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658</v>
      </c>
      <c r="B93" s="524" t="s">
        <v>3394</v>
      </c>
      <c r="H93" s="1142"/>
      <c r="I93" s="1142"/>
      <c r="J93" s="1312" t="s">
        <v>286</v>
      </c>
      <c r="K93" s="1313"/>
      <c r="L93" s="420"/>
      <c r="M93" s="1331" t="s">
        <v>521</v>
      </c>
      <c r="N93" s="1332"/>
      <c r="P93" s="1312" t="s">
        <v>287</v>
      </c>
      <c r="Q93" s="1313"/>
      <c r="S93" s="1312" t="s">
        <v>288</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2893</v>
      </c>
      <c r="X94" s="1307"/>
    </row>
    <row r="95" spans="1:24" s="362" customFormat="1" ht="13.15" customHeight="1">
      <c r="B95" s="365" t="s">
        <v>776</v>
      </c>
      <c r="J95" s="423"/>
      <c r="K95" s="423"/>
      <c r="M95" s="423"/>
      <c r="N95" s="423"/>
      <c r="O95" s="422" t="str">
        <f>B95</f>
        <v>DCA-RELATED COSTS</v>
      </c>
      <c r="P95" s="423"/>
      <c r="Q95" s="423"/>
      <c r="S95" s="423"/>
      <c r="T95" s="423"/>
      <c r="W95" s="362" t="str">
        <f>B95</f>
        <v>DCA-RELATED COSTS</v>
      </c>
    </row>
    <row r="96" spans="1:24" s="362" customFormat="1" ht="12.6" customHeight="1">
      <c r="B96" s="362" t="s">
        <v>1644</v>
      </c>
      <c r="G96" s="2095"/>
      <c r="H96" s="2096"/>
      <c r="J96" s="423"/>
      <c r="K96" s="423"/>
      <c r="L96" s="1148"/>
      <c r="M96" s="423"/>
      <c r="N96" s="423"/>
      <c r="P96" s="423"/>
      <c r="Q96" s="423"/>
      <c r="S96" s="2095"/>
      <c r="T96" s="2096"/>
      <c r="V96" s="2125"/>
      <c r="W96" s="1748"/>
      <c r="X96" s="1749"/>
    </row>
    <row r="97" spans="1:24" s="362" customFormat="1" ht="12.6" customHeight="1">
      <c r="B97" s="362" t="s">
        <v>1275</v>
      </c>
      <c r="G97" s="2095">
        <v>8500</v>
      </c>
      <c r="H97" s="2096"/>
      <c r="J97" s="423"/>
      <c r="K97" s="423"/>
      <c r="L97" s="431"/>
      <c r="M97" s="423"/>
      <c r="N97" s="423"/>
      <c r="P97" s="423"/>
      <c r="Q97" s="423"/>
      <c r="S97" s="2095">
        <f>G97</f>
        <v>8500</v>
      </c>
      <c r="T97" s="2096"/>
      <c r="V97" s="2125"/>
      <c r="W97" s="1756"/>
      <c r="X97" s="1757"/>
    </row>
    <row r="98" spans="1:24" s="362" customFormat="1" ht="12.6" customHeight="1">
      <c r="B98" s="362" t="s">
        <v>2920</v>
      </c>
      <c r="G98" s="2095"/>
      <c r="H98" s="2096"/>
      <c r="J98" s="423"/>
      <c r="K98" s="423"/>
      <c r="L98" s="431"/>
      <c r="M98" s="423"/>
      <c r="N98" s="423"/>
      <c r="O98" s="1142"/>
      <c r="P98" s="423"/>
      <c r="Q98" s="423"/>
      <c r="S98" s="2095"/>
      <c r="T98" s="2096"/>
      <c r="V98" s="2125"/>
      <c r="W98" s="1756"/>
      <c r="X98" s="1757"/>
    </row>
    <row r="99" spans="1:24" s="362" customFormat="1" ht="12.6" customHeight="1">
      <c r="B99" s="362" t="s">
        <v>553</v>
      </c>
      <c r="E99" s="1329">
        <f>'DCA Underwriting Assumptions'!$Q$40*$J$173</f>
        <v>63943.72</v>
      </c>
      <c r="F99" s="1330"/>
      <c r="G99" s="2095">
        <v>63944</v>
      </c>
      <c r="H99" s="2096"/>
      <c r="J99" s="423"/>
      <c r="K99" s="423"/>
      <c r="L99" s="1148"/>
      <c r="M99" s="423"/>
      <c r="N99" s="423"/>
      <c r="O99" s="1142"/>
      <c r="P99" s="423"/>
      <c r="Q99" s="423"/>
      <c r="S99" s="2095">
        <f>G99</f>
        <v>63944</v>
      </c>
      <c r="T99" s="2096"/>
      <c r="V99" s="2125"/>
      <c r="W99" s="1756"/>
      <c r="X99" s="1757"/>
    </row>
    <row r="100" spans="1:24" s="362" customFormat="1" ht="12.6" customHeight="1">
      <c r="B100" s="362" t="s">
        <v>804</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109100</v>
      </c>
      <c r="F100" s="1330"/>
      <c r="G100" s="2095">
        <v>105600</v>
      </c>
      <c r="H100" s="2096"/>
      <c r="J100" s="332"/>
      <c r="K100" s="332"/>
      <c r="L100" s="332"/>
      <c r="M100" s="332"/>
      <c r="N100" s="332"/>
      <c r="O100" s="332"/>
      <c r="P100" s="332"/>
      <c r="Q100" s="332"/>
      <c r="S100" s="2095">
        <f>G100</f>
        <v>105600</v>
      </c>
      <c r="T100" s="2096"/>
      <c r="V100" s="2125"/>
      <c r="W100" s="1756"/>
      <c r="X100" s="1757"/>
    </row>
    <row r="101" spans="1:24" s="362" customFormat="1" ht="12.6" customHeight="1">
      <c r="B101" s="362" t="s">
        <v>516</v>
      </c>
      <c r="G101" s="2095"/>
      <c r="H101" s="2096"/>
      <c r="J101" s="332"/>
      <c r="K101" s="332"/>
      <c r="L101" s="332"/>
      <c r="M101" s="332"/>
      <c r="N101" s="332"/>
      <c r="O101" s="332"/>
      <c r="P101" s="332"/>
      <c r="Q101" s="332"/>
      <c r="S101" s="2095"/>
      <c r="T101" s="2096"/>
      <c r="V101" s="2125"/>
      <c r="W101" s="1756"/>
      <c r="X101" s="1757"/>
    </row>
    <row r="102" spans="1:24" s="362" customFormat="1" ht="12.6" customHeight="1">
      <c r="B102" s="362" t="s">
        <v>2505</v>
      </c>
      <c r="G102" s="2095"/>
      <c r="H102" s="2096"/>
      <c r="J102" s="332"/>
      <c r="K102" s="332"/>
      <c r="L102" s="332"/>
      <c r="M102" s="332"/>
      <c r="N102" s="332"/>
      <c r="O102" s="332"/>
      <c r="P102" s="332"/>
      <c r="Q102" s="332"/>
      <c r="S102" s="2095"/>
      <c r="T102" s="2096"/>
      <c r="V102" s="2125"/>
      <c r="W102" s="1756"/>
      <c r="X102" s="1757"/>
    </row>
    <row r="103" spans="1:24" s="362" customFormat="1" ht="12.6" customHeight="1">
      <c r="A103" s="448" t="str">
        <f>IF(AND(G103&gt;0,OR(C103="",C103="&lt;Enter detailed description here; use Comments section if needed&gt;")),"X","")</f>
        <v/>
      </c>
      <c r="B103" s="362" t="s">
        <v>792</v>
      </c>
      <c r="C103" s="1956" t="s">
        <v>3767</v>
      </c>
      <c r="D103" s="1956"/>
      <c r="E103" s="1956"/>
      <c r="F103" s="1957"/>
      <c r="G103" s="2095">
        <v>30000</v>
      </c>
      <c r="H103" s="2096"/>
      <c r="J103" s="332"/>
      <c r="K103" s="332"/>
      <c r="L103" s="332"/>
      <c r="M103" s="332"/>
      <c r="N103" s="332"/>
      <c r="O103" s="332"/>
      <c r="P103" s="332"/>
      <c r="Q103" s="332"/>
      <c r="S103" s="2095"/>
      <c r="T103" s="2096"/>
      <c r="U103" s="447" t="str">
        <f>IF(AND(G103&gt;0,OR(C103="",C103="&lt;Enter detailed description here; use Comments section if needed&gt;")),"NO DESCRIPTION PROVIDED - please enter detailed description in Other box at left; use Comments section below if needed.","")</f>
        <v/>
      </c>
      <c r="V103" s="2125"/>
      <c r="W103" s="1756"/>
      <c r="X103" s="1757"/>
    </row>
    <row r="104" spans="1:24" s="362" customFormat="1" ht="12.6" customHeight="1" thickBot="1">
      <c r="A104" s="448" t="str">
        <f>IF(AND(G104&gt;0,OR(C104="",C104="&lt;Enter detailed description here; use Comments section if needed&gt;")),"X","")</f>
        <v/>
      </c>
      <c r="B104" s="362" t="s">
        <v>792</v>
      </c>
      <c r="C104" s="1956" t="s">
        <v>2579</v>
      </c>
      <c r="D104" s="1956"/>
      <c r="E104" s="1956"/>
      <c r="F104" s="1957"/>
      <c r="G104" s="2095"/>
      <c r="H104" s="2096"/>
      <c r="J104" s="332"/>
      <c r="K104" s="332"/>
      <c r="L104" s="332"/>
      <c r="M104" s="332"/>
      <c r="N104" s="332"/>
      <c r="O104" s="332"/>
      <c r="P104" s="332"/>
      <c r="Q104" s="332"/>
      <c r="S104" s="2095"/>
      <c r="T104" s="2096"/>
      <c r="U104" s="447" t="str">
        <f>IF(AND(G104&gt;0,OR(C104="",C104="&lt;Enter detailed description here; use Comments section if needed&gt;")),"NO DESCRIPTION PROVIDED - please enter detailed description in Other box at left; use Comments section below if needed.","")</f>
        <v/>
      </c>
      <c r="V104" s="2125"/>
      <c r="W104" s="1756"/>
      <c r="X104" s="1757"/>
    </row>
    <row r="105" spans="1:24" s="362" customFormat="1" ht="12.6" customHeight="1" thickTop="1">
      <c r="F105" s="421" t="s">
        <v>200</v>
      </c>
      <c r="G105" s="1304">
        <f>SUM(G96:H104)</f>
        <v>208044</v>
      </c>
      <c r="H105" s="1308"/>
      <c r="J105" s="423"/>
      <c r="K105" s="423"/>
      <c r="L105" s="1148"/>
      <c r="M105" s="423"/>
      <c r="N105" s="423"/>
      <c r="P105" s="423"/>
      <c r="Q105" s="423"/>
      <c r="S105" s="1304">
        <f>SUM(S96:T104)</f>
        <v>178044</v>
      </c>
      <c r="T105" s="1308"/>
      <c r="V105" s="2133"/>
      <c r="W105" s="1764"/>
      <c r="X105" s="1765"/>
    </row>
    <row r="106" spans="1:24" s="362" customFormat="1" ht="13.15" customHeight="1">
      <c r="B106" s="365" t="s">
        <v>2449</v>
      </c>
      <c r="J106" s="423"/>
      <c r="K106" s="423"/>
      <c r="M106" s="423"/>
      <c r="N106" s="423"/>
      <c r="O106" s="422" t="str">
        <f>B106</f>
        <v>EQUITY COSTS</v>
      </c>
      <c r="P106" s="423"/>
      <c r="Q106" s="423"/>
      <c r="S106" s="423"/>
      <c r="T106" s="423"/>
      <c r="W106" s="362" t="str">
        <f>B106</f>
        <v>EQUITY COSTS</v>
      </c>
    </row>
    <row r="107" spans="1:24" s="362" customFormat="1" ht="12.6" customHeight="1">
      <c r="B107" s="362" t="s">
        <v>295</v>
      </c>
      <c r="G107" s="2095"/>
      <c r="H107" s="2096"/>
      <c r="J107" s="1311"/>
      <c r="K107" s="1311"/>
      <c r="L107" s="1148"/>
      <c r="M107" s="1311"/>
      <c r="N107" s="1311"/>
      <c r="O107" s="1142"/>
      <c r="P107" s="1311"/>
      <c r="Q107" s="1311"/>
      <c r="S107" s="2095"/>
      <c r="T107" s="2096"/>
      <c r="V107" s="2125"/>
      <c r="W107" s="1748"/>
      <c r="X107" s="1749"/>
    </row>
    <row r="108" spans="1:24" s="362" customFormat="1" ht="12.6" customHeight="1">
      <c r="B108" s="362" t="s">
        <v>297</v>
      </c>
      <c r="G108" s="2095"/>
      <c r="H108" s="2096"/>
      <c r="J108" s="1311"/>
      <c r="K108" s="1311"/>
      <c r="L108" s="1148"/>
      <c r="M108" s="1311"/>
      <c r="N108" s="1311"/>
      <c r="O108" s="1142"/>
      <c r="P108" s="1311"/>
      <c r="Q108" s="1311"/>
      <c r="S108" s="2095"/>
      <c r="T108" s="2096"/>
      <c r="V108" s="2125"/>
      <c r="W108" s="1756"/>
      <c r="X108" s="1757"/>
    </row>
    <row r="109" spans="1:24" s="362" customFormat="1" ht="12.6" customHeight="1">
      <c r="B109" s="362" t="s">
        <v>2543</v>
      </c>
      <c r="G109" s="2095"/>
      <c r="H109" s="2096"/>
      <c r="J109" s="1311"/>
      <c r="K109" s="1311"/>
      <c r="L109" s="1148"/>
      <c r="M109" s="1311"/>
      <c r="N109" s="1311"/>
      <c r="O109" s="1142"/>
      <c r="P109" s="1311"/>
      <c r="Q109" s="1311"/>
      <c r="S109" s="2095"/>
      <c r="T109" s="2096"/>
      <c r="V109" s="2125"/>
      <c r="W109" s="1756"/>
      <c r="X109" s="1757"/>
    </row>
    <row r="110" spans="1:24" s="362" customFormat="1" ht="12.6" customHeight="1" thickBot="1">
      <c r="A110" s="448" t="str">
        <f>IF(AND(G110&gt;0,OR(C110="",C110="&lt;Enter detailed description here; use Comments section if needed&gt;")),"X","")</f>
        <v/>
      </c>
      <c r="B110" s="362" t="s">
        <v>792</v>
      </c>
      <c r="C110" s="1956" t="s">
        <v>2579</v>
      </c>
      <c r="D110" s="1956"/>
      <c r="E110" s="1956"/>
      <c r="F110" s="1957"/>
      <c r="G110" s="2095"/>
      <c r="H110" s="2096"/>
      <c r="J110" s="1311"/>
      <c r="K110" s="1311"/>
      <c r="L110" s="1148"/>
      <c r="M110" s="1311"/>
      <c r="N110" s="1311"/>
      <c r="O110" s="1142"/>
      <c r="P110" s="1311"/>
      <c r="Q110" s="1311"/>
      <c r="S110" s="2095"/>
      <c r="T110" s="2096"/>
      <c r="U110" s="447" t="str">
        <f>IF(AND(G110&gt;0,OR(C110="",C110="&lt;Enter detailed description here; use Comments section if needed&gt;")),"NO DESCRIPTION PROVIDED - please enter detailed description in Other box at left; use Comments section below if needed.","")</f>
        <v/>
      </c>
      <c r="V110" s="2125"/>
      <c r="W110" s="1756"/>
      <c r="X110" s="1757"/>
    </row>
    <row r="111" spans="1:24" s="362" customFormat="1" ht="12.6" customHeight="1" thickTop="1">
      <c r="F111" s="421" t="s">
        <v>200</v>
      </c>
      <c r="G111" s="1304">
        <f>SUM(G107:H110)</f>
        <v>0</v>
      </c>
      <c r="H111" s="1308"/>
      <c r="J111" s="1311"/>
      <c r="K111" s="1311"/>
      <c r="L111" s="1148"/>
      <c r="M111" s="1311"/>
      <c r="N111" s="1311"/>
      <c r="O111" s="1142"/>
      <c r="P111" s="1311"/>
      <c r="Q111" s="1311"/>
      <c r="S111" s="1304">
        <f>SUM(S107:T110)</f>
        <v>0</v>
      </c>
      <c r="T111" s="1308"/>
      <c r="V111" s="2133"/>
      <c r="W111" s="1764"/>
      <c r="X111" s="1765"/>
    </row>
    <row r="112" spans="1:24" s="362" customFormat="1" ht="13.15" customHeight="1">
      <c r="B112" s="365" t="s">
        <v>298</v>
      </c>
      <c r="J112" s="423"/>
      <c r="K112" s="420"/>
      <c r="M112" s="423"/>
      <c r="N112" s="420"/>
      <c r="O112" s="422" t="str">
        <f>B112</f>
        <v>DEVELOPER'S FEE</v>
      </c>
      <c r="P112" s="423"/>
      <c r="Q112" s="420"/>
      <c r="S112" s="423"/>
      <c r="T112" s="420"/>
      <c r="W112" s="362" t="str">
        <f>B112</f>
        <v>DEVELOPER'S FEE</v>
      </c>
    </row>
    <row r="113" spans="1:24" s="362" customFormat="1" ht="12.6" customHeight="1">
      <c r="B113" s="362" t="s">
        <v>1990</v>
      </c>
      <c r="F113" s="489">
        <f>G113/$G$116</f>
        <v>0</v>
      </c>
      <c r="G113" s="2095"/>
      <c r="H113" s="2096"/>
      <c r="J113" s="2095"/>
      <c r="K113" s="2096"/>
      <c r="L113" s="422"/>
      <c r="M113" s="2095"/>
      <c r="N113" s="2096"/>
      <c r="P113" s="2095"/>
      <c r="Q113" s="2096"/>
      <c r="S113" s="2095"/>
      <c r="T113" s="2096"/>
      <c r="V113" s="2125"/>
      <c r="W113" s="1748"/>
      <c r="X113" s="1749"/>
    </row>
    <row r="114" spans="1:24" s="362" customFormat="1" ht="12.6" customHeight="1">
      <c r="B114" s="362" t="s">
        <v>1991</v>
      </c>
      <c r="F114" s="489">
        <f>G114/$G$116</f>
        <v>0</v>
      </c>
      <c r="G114" s="2095"/>
      <c r="H114" s="2096"/>
      <c r="J114" s="2095"/>
      <c r="K114" s="2096"/>
      <c r="L114" s="1148"/>
      <c r="M114" s="2095"/>
      <c r="N114" s="2096"/>
      <c r="P114" s="2095"/>
      <c r="Q114" s="2096"/>
      <c r="S114" s="2095"/>
      <c r="T114" s="2096"/>
      <c r="V114" s="2125"/>
      <c r="W114" s="1756"/>
      <c r="X114" s="1757"/>
    </row>
    <row r="115" spans="1:24" s="362" customFormat="1" ht="12.6" customHeight="1" thickBot="1">
      <c r="B115" s="362" t="s">
        <v>1983</v>
      </c>
      <c r="F115" s="489">
        <f>G115/$G$116</f>
        <v>1</v>
      </c>
      <c r="G115" s="2095">
        <v>1684874</v>
      </c>
      <c r="H115" s="2096"/>
      <c r="J115" s="2095"/>
      <c r="K115" s="2096"/>
      <c r="L115" s="1148"/>
      <c r="M115" s="2095"/>
      <c r="N115" s="2096"/>
      <c r="P115" s="2095">
        <f>G115</f>
        <v>1684874</v>
      </c>
      <c r="Q115" s="2096"/>
      <c r="S115" s="2095"/>
      <c r="T115" s="2096"/>
      <c r="V115" s="2125"/>
      <c r="W115" s="1756"/>
      <c r="X115" s="1757"/>
    </row>
    <row r="116" spans="1:24" s="362" customFormat="1" ht="12.6" customHeight="1" thickTop="1">
      <c r="C116" s="447" t="str">
        <f>IF(G116&lt;='DCA Underwriting Assumptions'!$Q$48,"","Developer Fee exceeds DCA Program Maximum !!!")</f>
        <v/>
      </c>
      <c r="F116" s="421" t="s">
        <v>200</v>
      </c>
      <c r="G116" s="1304">
        <f>SUM(G113:H115)</f>
        <v>1684874</v>
      </c>
      <c r="H116" s="1308"/>
      <c r="J116" s="1304">
        <f>SUM(J113:K115)</f>
        <v>0</v>
      </c>
      <c r="K116" s="1308"/>
      <c r="L116" s="1148"/>
      <c r="M116" s="1304">
        <f>SUM(M113:N115)</f>
        <v>0</v>
      </c>
      <c r="N116" s="1308"/>
      <c r="P116" s="1304">
        <f>SUM(P113:Q115)</f>
        <v>1684874</v>
      </c>
      <c r="Q116" s="1308"/>
      <c r="S116" s="1304">
        <f>SUM(S113:T115)</f>
        <v>0</v>
      </c>
      <c r="T116" s="1308"/>
      <c r="V116" s="2133"/>
      <c r="W116" s="1764"/>
      <c r="X116" s="1765"/>
    </row>
    <row r="117" spans="1:24" s="362" customFormat="1" ht="13.15" customHeight="1">
      <c r="B117" s="365" t="s">
        <v>1396</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265</v>
      </c>
      <c r="G118" s="2095">
        <v>25000</v>
      </c>
      <c r="H118" s="2096"/>
      <c r="J118" s="432"/>
      <c r="K118" s="432"/>
      <c r="L118" s="432"/>
      <c r="M118" s="432"/>
      <c r="N118" s="432"/>
      <c r="P118" s="432"/>
      <c r="Q118" s="432"/>
      <c r="S118" s="2095">
        <f>G118</f>
        <v>25000</v>
      </c>
      <c r="T118" s="2096"/>
      <c r="V118" s="2125"/>
      <c r="W118" s="1748"/>
      <c r="X118" s="1749"/>
    </row>
    <row r="119" spans="1:24" s="362" customFormat="1" ht="12.6" customHeight="1">
      <c r="B119" s="362" t="s">
        <v>1643</v>
      </c>
      <c r="F119" s="647">
        <f>+'Part VI-Revenues &amp; Expenses'!P157*('DCA Underwriting Assumptions'!$Q$60/12)</f>
        <v>108868.25</v>
      </c>
      <c r="G119" s="2095">
        <v>120418</v>
      </c>
      <c r="H119" s="2096"/>
      <c r="J119" s="1311"/>
      <c r="K119" s="1311"/>
      <c r="L119" s="1148"/>
      <c r="M119" s="1311"/>
      <c r="N119" s="1311"/>
      <c r="O119" s="1142"/>
      <c r="P119" s="1311"/>
      <c r="Q119" s="1311"/>
      <c r="R119" s="1142"/>
      <c r="S119" s="2095">
        <f t="shared" ref="S119:S120" si="3">G119</f>
        <v>120418</v>
      </c>
      <c r="T119" s="2096"/>
      <c r="V119" s="2125"/>
      <c r="W119" s="1756"/>
      <c r="X119" s="1757"/>
    </row>
    <row r="120" spans="1:24" s="362" customFormat="1" ht="12.6" customHeight="1">
      <c r="B120" s="362" t="s">
        <v>725</v>
      </c>
      <c r="F120" s="648">
        <f>'Part VI-Revenues &amp; Expenses'!P157*('DCA Underwriting Assumptions'!Q59/12)+('Part VII-Pro Forma'!B23+'Part VII-Pro Forma'!B24+'Part VII-Pro Forma'!B25+'Part VII-Pro Forma'!B26)*'DCA Underwriting Assumptions'!Q58/(-12)</f>
        <v>336811.59280669707</v>
      </c>
      <c r="G120" s="2095">
        <v>356203</v>
      </c>
      <c r="H120" s="2096"/>
      <c r="J120" s="431"/>
      <c r="K120" s="431"/>
      <c r="L120" s="431"/>
      <c r="M120" s="431"/>
      <c r="N120" s="431"/>
      <c r="O120" s="1142"/>
      <c r="P120" s="431"/>
      <c r="Q120" s="431"/>
      <c r="R120" s="1142"/>
      <c r="S120" s="2095">
        <f t="shared" si="3"/>
        <v>356203</v>
      </c>
      <c r="T120" s="2096"/>
      <c r="V120" s="2125"/>
      <c r="W120" s="1756"/>
      <c r="X120" s="1757"/>
    </row>
    <row r="121" spans="1:24" s="362" customFormat="1" ht="12.6" customHeight="1">
      <c r="B121" s="362" t="s">
        <v>1323</v>
      </c>
      <c r="G121" s="2095"/>
      <c r="H121" s="2096"/>
      <c r="J121" s="432"/>
      <c r="K121" s="432"/>
      <c r="L121" s="432"/>
      <c r="M121" s="432"/>
      <c r="N121" s="432"/>
      <c r="P121" s="432"/>
      <c r="Q121" s="432"/>
      <c r="S121" s="2095"/>
      <c r="T121" s="2096"/>
      <c r="V121" s="2125"/>
      <c r="W121" s="1756"/>
      <c r="X121" s="1757"/>
    </row>
    <row r="122" spans="1:24" s="362" customFormat="1" ht="12.6" customHeight="1">
      <c r="B122" s="362" t="s">
        <v>1324</v>
      </c>
      <c r="E122" s="362" t="s">
        <v>3140</v>
      </c>
      <c r="F122" s="590">
        <f>G122/'Part VI-Revenues &amp; Expenses'!$M$62</f>
        <v>454.54545454545456</v>
      </c>
      <c r="G122" s="2095">
        <v>60000</v>
      </c>
      <c r="H122" s="2096"/>
      <c r="J122" s="2095"/>
      <c r="K122" s="2096"/>
      <c r="L122" s="1148"/>
      <c r="M122" s="2095"/>
      <c r="N122" s="2096"/>
      <c r="P122" s="2095">
        <f>G122</f>
        <v>60000</v>
      </c>
      <c r="Q122" s="2096"/>
      <c r="S122" s="2095"/>
      <c r="T122" s="2096"/>
      <c r="V122" s="2125"/>
      <c r="W122" s="1756"/>
      <c r="X122" s="1757"/>
    </row>
    <row r="123" spans="1:24" s="362" customFormat="1" ht="12.6" customHeight="1" thickBot="1">
      <c r="A123" s="448" t="str">
        <f>IF(AND(G123&gt;0,OR(C123="",C123="&lt;Enter detailed description here; use Comments section if needed&gt;")),"X","")</f>
        <v/>
      </c>
      <c r="B123" s="362" t="s">
        <v>792</v>
      </c>
      <c r="C123" s="1956" t="s">
        <v>3766</v>
      </c>
      <c r="D123" s="1956"/>
      <c r="E123" s="1956"/>
      <c r="F123" s="1957"/>
      <c r="G123" s="2095">
        <v>25000</v>
      </c>
      <c r="H123" s="2096"/>
      <c r="J123" s="2095"/>
      <c r="K123" s="2096"/>
      <c r="L123" s="1148"/>
      <c r="M123" s="2095"/>
      <c r="N123" s="2096"/>
      <c r="P123" s="2095">
        <f>G123</f>
        <v>25000</v>
      </c>
      <c r="Q123" s="2096"/>
      <c r="S123" s="2095"/>
      <c r="T123" s="2096"/>
      <c r="U123" s="447" t="str">
        <f>IF(AND(G123&gt;0,OR(C123="",C123="&lt;Enter detailed description here; use Comments section if needed&gt;")),"NO DESCRIPTION PROVIDED - please enter detailed description in Other box at left; use Comments section below if needed.","")</f>
        <v/>
      </c>
      <c r="V123" s="2125"/>
      <c r="W123" s="1756"/>
      <c r="X123" s="1757"/>
    </row>
    <row r="124" spans="1:24" s="362" customFormat="1" ht="12.6" customHeight="1" thickTop="1">
      <c r="B124" s="433"/>
      <c r="F124" s="421" t="s">
        <v>200</v>
      </c>
      <c r="G124" s="1304">
        <f>SUM(G118:H123)</f>
        <v>586621</v>
      </c>
      <c r="H124" s="1308"/>
      <c r="J124" s="1304">
        <f>SUM(J122:K123)</f>
        <v>0</v>
      </c>
      <c r="K124" s="1308"/>
      <c r="L124" s="1148"/>
      <c r="M124" s="1304">
        <f>SUM(M122:N123)</f>
        <v>0</v>
      </c>
      <c r="N124" s="1308"/>
      <c r="P124" s="1304">
        <f>SUM(P122:Q123)</f>
        <v>85000</v>
      </c>
      <c r="Q124" s="1308"/>
      <c r="S124" s="1304">
        <f>SUM(S118:T123)</f>
        <v>501621</v>
      </c>
      <c r="T124" s="1308"/>
      <c r="V124" s="2133"/>
      <c r="W124" s="1764"/>
      <c r="X124" s="1765"/>
    </row>
    <row r="125" spans="1:24" s="362" customFormat="1" ht="13.15" customHeight="1">
      <c r="B125" s="365" t="s">
        <v>652</v>
      </c>
      <c r="C125" s="1134"/>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653</v>
      </c>
      <c r="C126" s="1134"/>
      <c r="G126" s="2095">
        <v>264000</v>
      </c>
      <c r="H126" s="2096"/>
      <c r="J126" s="2095"/>
      <c r="K126" s="2096"/>
      <c r="L126" s="422"/>
      <c r="M126" s="2095"/>
      <c r="N126" s="2096"/>
      <c r="P126" s="2095">
        <f>G126</f>
        <v>264000</v>
      </c>
      <c r="Q126" s="2096"/>
      <c r="S126" s="2095"/>
      <c r="T126" s="2096"/>
      <c r="V126" s="2125"/>
      <c r="W126" s="1748"/>
      <c r="X126" s="1749"/>
    </row>
    <row r="127" spans="1:24" s="362" customFormat="1" ht="12.6" customHeight="1" thickBot="1">
      <c r="A127" s="448" t="str">
        <f>IF(AND(G127&gt;0,OR(C127="",C127="&lt;Enter detailed description here; use Comments section if needed&gt;")),"X","")</f>
        <v/>
      </c>
      <c r="B127" s="362" t="s">
        <v>792</v>
      </c>
      <c r="C127" s="1956" t="s">
        <v>2579</v>
      </c>
      <c r="D127" s="1956"/>
      <c r="E127" s="1956"/>
      <c r="F127" s="1957"/>
      <c r="G127" s="2095"/>
      <c r="H127" s="2096"/>
      <c r="J127" s="2095"/>
      <c r="K127" s="2096"/>
      <c r="L127" s="1148"/>
      <c r="M127" s="2095"/>
      <c r="N127" s="2096"/>
      <c r="P127" s="2095"/>
      <c r="Q127" s="2096"/>
      <c r="S127" s="2095"/>
      <c r="T127" s="2096"/>
      <c r="U127" s="447" t="str">
        <f>IF(AND(G127&gt;0,OR(C127="",C127="&lt;Enter detailed description here; use Comments section if needed&gt;")),"NO DESCRIPTION PROVIDED - please enter detailed description in Other box at left; use Comments section below if needed.","")</f>
        <v/>
      </c>
      <c r="V127" s="2125"/>
      <c r="W127" s="1756"/>
      <c r="X127" s="1757"/>
    </row>
    <row r="128" spans="1:24" s="362" customFormat="1" ht="12.6" customHeight="1" thickTop="1">
      <c r="C128" s="1134"/>
      <c r="F128" s="421" t="s">
        <v>200</v>
      </c>
      <c r="G128" s="1304">
        <f>SUM(G126:H127)</f>
        <v>264000</v>
      </c>
      <c r="H128" s="1308"/>
      <c r="J128" s="1304">
        <f>SUM(J126:K127)</f>
        <v>0</v>
      </c>
      <c r="K128" s="1308"/>
      <c r="L128" s="1148"/>
      <c r="M128" s="1304">
        <f>SUM(M126:N127)</f>
        <v>0</v>
      </c>
      <c r="N128" s="1308"/>
      <c r="P128" s="1304">
        <f>SUM(P126:Q127)</f>
        <v>264000</v>
      </c>
      <c r="Q128" s="1308"/>
      <c r="S128" s="1304">
        <f>SUM(S126:T127)</f>
        <v>0</v>
      </c>
      <c r="T128" s="1308"/>
      <c r="V128" s="2133"/>
      <c r="W128" s="1756"/>
      <c r="X128" s="1757"/>
    </row>
    <row r="129" spans="1:24" s="362" customFormat="1" ht="3" customHeight="1" thickBot="1">
      <c r="C129" s="1134"/>
      <c r="H129" s="429"/>
      <c r="I129" s="429"/>
      <c r="L129" s="1142"/>
      <c r="W129" s="1756"/>
      <c r="X129" s="1757"/>
    </row>
    <row r="130" spans="1:24" s="362" customFormat="1" ht="13.9" customHeight="1" thickBot="1">
      <c r="B130" s="369" t="s">
        <v>3213</v>
      </c>
      <c r="G130" s="1316">
        <f>G17+G23+G27+G33+G38+G41+G47+G64+G77+G83+G91+G105+G111+G116+G124+G128</f>
        <v>13472490.989599999</v>
      </c>
      <c r="H130" s="1317"/>
      <c r="J130" s="1316">
        <f>J17+J23+J27+J33+J38+J41+J47+J64+J77+J83+J91+J105+J111+J116+J124+J128</f>
        <v>0</v>
      </c>
      <c r="K130" s="1317"/>
      <c r="M130" s="1316">
        <f>M17+M23+M27+M33+M38+M41+M47+M64+M77+M83+M91+M105+M111+M116+M124+M128</f>
        <v>2240000</v>
      </c>
      <c r="N130" s="1317"/>
      <c r="P130" s="1316">
        <f>P17+P23+P27+P33+P38+P41+P47+P64+P77+P83+P91+P105+P111+P116+P124+P128</f>
        <v>9584387.989599999</v>
      </c>
      <c r="Q130" s="1317"/>
      <c r="S130" s="1316">
        <f>S17+S23+S27+S33+S38+S41+S47+S64+S77+S83+S91+S105+S111+S116+S124+S128</f>
        <v>1525103</v>
      </c>
      <c r="T130" s="1317"/>
      <c r="V130" s="2142"/>
      <c r="W130" s="2143"/>
      <c r="X130" s="1765"/>
    </row>
    <row r="131" spans="1:24" s="362" customFormat="1" ht="3" customHeight="1">
      <c r="C131" s="1134"/>
      <c r="H131" s="429"/>
      <c r="I131" s="429"/>
      <c r="L131" s="1142"/>
    </row>
    <row r="132" spans="1:24" s="362" customFormat="1" ht="13.9" customHeight="1">
      <c r="B132" s="658" t="s">
        <v>3155</v>
      </c>
      <c r="C132" s="656"/>
      <c r="D132" s="1323">
        <f>G130/'Part VI-Revenues &amp; Expenses'!$M$62</f>
        <v>102064.32567878788</v>
      </c>
      <c r="E132" s="1323"/>
      <c r="F132" s="657" t="s">
        <v>3154</v>
      </c>
      <c r="G132" s="1323">
        <f>G130/'Part VI-Revenues &amp; Expenses'!$M$100</f>
        <v>126.86439215789672</v>
      </c>
      <c r="H132" s="1324"/>
      <c r="I132" s="434"/>
    </row>
    <row r="133" spans="1:24" s="362" customFormat="1" ht="3" customHeight="1">
      <c r="I133" s="434"/>
      <c r="L133" s="434"/>
    </row>
    <row r="134" spans="1:24" s="362" customFormat="1" ht="3.6" customHeight="1" thickBot="1">
      <c r="D134" s="1134"/>
      <c r="E134" s="1134"/>
      <c r="I134" s="429"/>
      <c r="J134" s="429"/>
      <c r="K134" s="435"/>
      <c r="L134" s="368"/>
      <c r="P134" s="1142"/>
    </row>
    <row r="135" spans="1:24" s="362" customFormat="1" ht="25.9" customHeight="1">
      <c r="A135" s="524" t="s">
        <v>791</v>
      </c>
      <c r="B135" s="526" t="s">
        <v>1521</v>
      </c>
      <c r="C135" s="363"/>
      <c r="D135" s="1148"/>
      <c r="E135" s="1148"/>
      <c r="F135" s="1148"/>
      <c r="G135" s="1142"/>
      <c r="H135" s="1142"/>
      <c r="I135" s="436"/>
      <c r="J135" s="1312" t="s">
        <v>286</v>
      </c>
      <c r="K135" s="1313"/>
      <c r="M135" s="1312" t="s">
        <v>103</v>
      </c>
      <c r="N135" s="1313"/>
      <c r="P135" s="1312" t="s">
        <v>287</v>
      </c>
      <c r="Q135" s="1313"/>
      <c r="W135" s="525" t="str">
        <f>B135</f>
        <v>TAX CREDIT CALCULATION - BASIS METHOD</v>
      </c>
    </row>
    <row r="136" spans="1:24" s="362" customFormat="1" ht="15" customHeight="1" thickBot="1">
      <c r="B136" s="369" t="s">
        <v>2183</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3.9" customHeight="1">
      <c r="B138" s="1134" t="s">
        <v>147</v>
      </c>
      <c r="D138" s="1142"/>
      <c r="E138" s="1142"/>
      <c r="F138" s="1142"/>
      <c r="G138" s="1142"/>
      <c r="H138" s="1142"/>
      <c r="I138" s="436"/>
      <c r="J138" s="2144">
        <v>0</v>
      </c>
      <c r="K138" s="2145"/>
      <c r="P138" s="2144">
        <v>0</v>
      </c>
      <c r="Q138" s="2145"/>
      <c r="V138" s="2125"/>
      <c r="W138" s="1748"/>
      <c r="X138" s="1749"/>
    </row>
    <row r="139" spans="1:24" s="362" customFormat="1" ht="13.9" customHeight="1">
      <c r="B139" s="1142" t="s">
        <v>2291</v>
      </c>
      <c r="D139" s="1142"/>
      <c r="E139" s="1142"/>
      <c r="F139" s="1142"/>
      <c r="G139" s="1142"/>
      <c r="H139" s="1142"/>
      <c r="I139" s="436"/>
      <c r="J139" s="2144"/>
      <c r="K139" s="2145"/>
      <c r="P139" s="2144"/>
      <c r="Q139" s="2145"/>
      <c r="V139" s="2125"/>
      <c r="W139" s="1756"/>
      <c r="X139" s="1757"/>
    </row>
    <row r="140" spans="1:24" s="362" customFormat="1" ht="13.9" customHeight="1">
      <c r="B140" s="1142" t="s">
        <v>1993</v>
      </c>
      <c r="D140" s="1142"/>
      <c r="E140" s="1142"/>
      <c r="I140" s="436"/>
      <c r="J140" s="2144"/>
      <c r="K140" s="2145"/>
      <c r="P140" s="2144"/>
      <c r="Q140" s="2145"/>
      <c r="V140" s="2125"/>
      <c r="W140" s="1756"/>
      <c r="X140" s="1757"/>
    </row>
    <row r="141" spans="1:24" s="362" customFormat="1" ht="13.9" customHeight="1">
      <c r="B141" s="1142" t="s">
        <v>1994</v>
      </c>
      <c r="D141" s="1142"/>
      <c r="E141" s="1142"/>
      <c r="I141" s="436"/>
      <c r="J141" s="2144"/>
      <c r="K141" s="2145"/>
      <c r="P141" s="2144"/>
      <c r="Q141" s="2145"/>
      <c r="V141" s="2125"/>
      <c r="W141" s="1756"/>
      <c r="X141" s="1757"/>
    </row>
    <row r="142" spans="1:24" s="362" customFormat="1" ht="13.9" customHeight="1">
      <c r="B142" s="1142" t="s">
        <v>268</v>
      </c>
      <c r="D142" s="1142"/>
      <c r="E142" s="1142"/>
      <c r="I142" s="436"/>
      <c r="J142" s="2144"/>
      <c r="K142" s="2145"/>
      <c r="P142" s="2144"/>
      <c r="Q142" s="2145"/>
      <c r="V142" s="2125"/>
      <c r="W142" s="1756"/>
      <c r="X142" s="1757"/>
    </row>
    <row r="143" spans="1:24" s="362" customFormat="1" ht="13.9" customHeight="1" thickBot="1">
      <c r="B143" s="1142" t="s">
        <v>1711</v>
      </c>
      <c r="C143" s="1956" t="s">
        <v>2579</v>
      </c>
      <c r="D143" s="1956"/>
      <c r="E143" s="1956"/>
      <c r="F143" s="1956"/>
      <c r="G143" s="1956"/>
      <c r="H143" s="1956"/>
      <c r="I143" s="1957"/>
      <c r="J143" s="2144"/>
      <c r="K143" s="2145"/>
      <c r="P143" s="2144"/>
      <c r="Q143" s="2145"/>
      <c r="V143" s="2125"/>
      <c r="W143" s="1756"/>
      <c r="X143" s="1757"/>
    </row>
    <row r="144" spans="1:24" s="362" customFormat="1" ht="13.9" customHeight="1" thickBot="1">
      <c r="B144" s="374" t="s">
        <v>1995</v>
      </c>
      <c r="C144" s="377"/>
      <c r="J144" s="1265">
        <f>SUM(J138:K143)</f>
        <v>0</v>
      </c>
      <c r="K144" s="1266"/>
      <c r="P144" s="1265">
        <f>SUM(P138:Q143)</f>
        <v>0</v>
      </c>
      <c r="Q144" s="1266"/>
      <c r="V144" s="2133"/>
      <c r="W144" s="1764"/>
      <c r="X144" s="1765"/>
    </row>
    <row r="145" spans="1:24" s="362" customFormat="1" ht="3" customHeight="1"/>
    <row r="146" spans="1:24" s="362" customFormat="1" ht="15" customHeight="1" thickBot="1">
      <c r="B146" s="365" t="s">
        <v>2491</v>
      </c>
      <c r="W146" s="362" t="str">
        <f>B146</f>
        <v>Eligible Basis Calculation</v>
      </c>
    </row>
    <row r="147" spans="1:24" s="362" customFormat="1" ht="13.9" customHeight="1">
      <c r="B147" s="362" t="s">
        <v>1915</v>
      </c>
      <c r="J147" s="1373">
        <f>J130</f>
        <v>0</v>
      </c>
      <c r="K147" s="1374"/>
      <c r="M147" s="1375">
        <f>M130</f>
        <v>2240000</v>
      </c>
      <c r="N147" s="1376"/>
      <c r="P147" s="1373">
        <f>P130</f>
        <v>9584387.989599999</v>
      </c>
      <c r="Q147" s="1374"/>
      <c r="V147" s="2125"/>
      <c r="W147" s="1748"/>
      <c r="X147" s="1749"/>
    </row>
    <row r="148" spans="1:24" s="362" customFormat="1" ht="13.9" customHeight="1">
      <c r="B148" s="362" t="s">
        <v>2366</v>
      </c>
      <c r="J148" s="1318">
        <f>J144</f>
        <v>0</v>
      </c>
      <c r="K148" s="1319"/>
      <c r="M148" s="1322"/>
      <c r="N148" s="1322"/>
      <c r="P148" s="1318">
        <f>P144</f>
        <v>0</v>
      </c>
      <c r="Q148" s="1319"/>
      <c r="V148" s="2125"/>
      <c r="W148" s="1756"/>
      <c r="X148" s="1757"/>
    </row>
    <row r="149" spans="1:24" s="362" customFormat="1" ht="13.9" customHeight="1">
      <c r="B149" s="362" t="s">
        <v>2367</v>
      </c>
      <c r="J149" s="1318">
        <f>J147-J148</f>
        <v>0</v>
      </c>
      <c r="K149" s="1319"/>
      <c r="M149" s="1318">
        <f>M147</f>
        <v>2240000</v>
      </c>
      <c r="N149" s="1319"/>
      <c r="P149" s="1318">
        <f>P147-P148</f>
        <v>9584387.989599999</v>
      </c>
      <c r="Q149" s="1319"/>
      <c r="V149" s="2125"/>
      <c r="W149" s="1756"/>
      <c r="X149" s="1757"/>
    </row>
    <row r="150" spans="1:24" s="362" customFormat="1" ht="13.9" customHeight="1">
      <c r="B150" s="362" t="s">
        <v>1588</v>
      </c>
      <c r="G150" s="1131" t="s">
        <v>1834</v>
      </c>
      <c r="H150" s="1946" t="s">
        <v>1896</v>
      </c>
      <c r="I150" s="1947"/>
      <c r="J150" s="2146"/>
      <c r="K150" s="2147"/>
      <c r="M150" s="1372"/>
      <c r="N150" s="1372"/>
      <c r="P150" s="2146">
        <v>1</v>
      </c>
      <c r="Q150" s="2147"/>
      <c r="V150" s="2125"/>
      <c r="W150" s="1756"/>
      <c r="X150" s="1757"/>
    </row>
    <row r="151" spans="1:24" s="362" customFormat="1" ht="13.9" customHeight="1">
      <c r="B151" s="362" t="s">
        <v>2193</v>
      </c>
      <c r="J151" s="1318">
        <f>J149*J150</f>
        <v>0</v>
      </c>
      <c r="K151" s="1319"/>
      <c r="M151" s="1318">
        <f>+M149</f>
        <v>2240000</v>
      </c>
      <c r="N151" s="1319"/>
      <c r="P151" s="1318">
        <f>P149*P150</f>
        <v>9584387.989599999</v>
      </c>
      <c r="Q151" s="1319"/>
      <c r="V151" s="2125"/>
      <c r="W151" s="1756"/>
      <c r="X151" s="1757"/>
    </row>
    <row r="152" spans="1:24" s="362" customFormat="1" ht="13.9" customHeight="1">
      <c r="B152" s="362" t="s">
        <v>2724</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5"/>
      <c r="W152" s="1756"/>
      <c r="X152" s="1757"/>
    </row>
    <row r="153" spans="1:24" s="362" customFormat="1" ht="13.9" customHeight="1">
      <c r="B153" s="362" t="s">
        <v>2184</v>
      </c>
      <c r="J153" s="1318">
        <f>J151*J152</f>
        <v>0</v>
      </c>
      <c r="K153" s="1319"/>
      <c r="M153" s="1318">
        <f>M151*M152</f>
        <v>2240000</v>
      </c>
      <c r="N153" s="1319"/>
      <c r="P153" s="1318">
        <f>P151*P152</f>
        <v>9584387.989599999</v>
      </c>
      <c r="Q153" s="1319"/>
      <c r="V153" s="2125"/>
      <c r="W153" s="1756"/>
      <c r="X153" s="1757"/>
    </row>
    <row r="154" spans="1:24" s="362" customFormat="1" ht="13.9" customHeight="1">
      <c r="B154" s="362" t="s">
        <v>2185</v>
      </c>
      <c r="J154" s="2146">
        <v>7.5800000000000006E-2</v>
      </c>
      <c r="K154" s="2147"/>
      <c r="M154" s="2146">
        <v>3.2500000000000001E-2</v>
      </c>
      <c r="N154" s="2147"/>
      <c r="P154" s="2146">
        <v>7.5800000000000006E-2</v>
      </c>
      <c r="Q154" s="2147"/>
      <c r="V154" s="2125"/>
      <c r="W154" s="1756"/>
      <c r="X154" s="1757"/>
    </row>
    <row r="155" spans="1:24" s="362" customFormat="1" ht="13.9" customHeight="1" thickBot="1">
      <c r="B155" s="362" t="s">
        <v>2725</v>
      </c>
      <c r="J155" s="1370">
        <f>J153*J154</f>
        <v>0</v>
      </c>
      <c r="K155" s="1371"/>
      <c r="M155" s="1370">
        <f>M153*M154</f>
        <v>72800</v>
      </c>
      <c r="N155" s="1371"/>
      <c r="P155" s="1370">
        <f>P153*P154</f>
        <v>726496.60961168003</v>
      </c>
      <c r="Q155" s="1371"/>
      <c r="V155" s="2148"/>
      <c r="W155" s="1756"/>
      <c r="X155" s="1757"/>
    </row>
    <row r="156" spans="1:24" s="362" customFormat="1" ht="13.9" customHeight="1" thickBot="1">
      <c r="B156" s="365" t="s">
        <v>1519</v>
      </c>
      <c r="J156" s="1265">
        <f>J155+M155+P155</f>
        <v>799296.60961168003</v>
      </c>
      <c r="K156" s="1362"/>
      <c r="L156" s="1362"/>
      <c r="M156" s="1362"/>
      <c r="N156" s="1362"/>
      <c r="O156" s="1362"/>
      <c r="P156" s="1362"/>
      <c r="Q156" s="1266"/>
      <c r="V156" s="2133"/>
      <c r="W156" s="1764"/>
      <c r="X156" s="1765"/>
    </row>
    <row r="157" spans="1:24" s="362" customFormat="1" ht="6" customHeight="1">
      <c r="B157" s="437"/>
      <c r="L157" s="438"/>
      <c r="M157" s="438"/>
      <c r="N157" s="438"/>
      <c r="O157" s="438"/>
    </row>
    <row r="158" spans="1:24" s="362" customFormat="1" ht="13.9" customHeight="1">
      <c r="A158" s="525" t="s">
        <v>793</v>
      </c>
      <c r="B158" s="525" t="s">
        <v>1522</v>
      </c>
      <c r="H158" s="429"/>
      <c r="I158" s="429"/>
      <c r="L158" s="1142"/>
      <c r="M158" s="610"/>
      <c r="N158" s="1142"/>
      <c r="O158" s="1142"/>
      <c r="P158" s="1142"/>
      <c r="Q158" s="1142"/>
      <c r="R158" s="1142"/>
      <c r="S158" s="1142"/>
      <c r="T158" s="1142"/>
    </row>
    <row r="159" spans="1:24" s="362" customFormat="1" ht="15" customHeight="1" thickBot="1">
      <c r="B159" s="365" t="s">
        <v>182</v>
      </c>
      <c r="H159" s="330"/>
      <c r="M159" s="610"/>
      <c r="N159" s="1142"/>
      <c r="O159" s="1142"/>
      <c r="P159" s="1142"/>
      <c r="Q159" s="1142"/>
      <c r="R159" s="1142"/>
      <c r="S159" s="1142"/>
      <c r="T159" s="1142"/>
      <c r="W159" s="525" t="str">
        <f>B158</f>
        <v>TAX CREDIT CALCULATION - GAP METHOD</v>
      </c>
    </row>
    <row r="160" spans="1:24" s="362" customFormat="1" ht="15" customHeight="1">
      <c r="B160" s="355" t="s">
        <v>3214</v>
      </c>
      <c r="G160" s="1357" t="str">
        <f>IF(J161&gt;J160,"TDC exceeds QAP PUCL!","")</f>
        <v/>
      </c>
      <c r="H160" s="1357"/>
      <c r="I160" s="1358"/>
      <c r="J160" s="1359">
        <f>'Part VIII-Threshold Criteria'!$P$47</f>
        <v>20135370</v>
      </c>
      <c r="K160" s="1360"/>
      <c r="L160" s="1361"/>
      <c r="M160" s="1347" t="s">
        <v>3020</v>
      </c>
      <c r="N160" s="1348"/>
      <c r="O160" s="1348"/>
      <c r="P160" s="1348"/>
      <c r="Q160" s="1348"/>
      <c r="R160" s="1349"/>
      <c r="S160" s="1353" t="s">
        <v>2977</v>
      </c>
      <c r="T160" s="1354"/>
      <c r="V160" s="2125"/>
      <c r="W160" s="1748"/>
      <c r="X160" s="1749"/>
    </row>
    <row r="161" spans="1:24" s="362" customFormat="1" ht="13.9" customHeight="1">
      <c r="B161" s="362" t="s">
        <v>3022</v>
      </c>
      <c r="J161" s="2149">
        <f>MIN(G130,J160,(G130-O163))</f>
        <v>13472490.989599999</v>
      </c>
      <c r="K161" s="2150"/>
      <c r="L161" s="2151"/>
      <c r="M161" s="1350"/>
      <c r="N161" s="1351"/>
      <c r="O161" s="1351"/>
      <c r="P161" s="1351"/>
      <c r="Q161" s="1351"/>
      <c r="R161" s="1352"/>
      <c r="S161" s="1355"/>
      <c r="T161" s="1356"/>
      <c r="V161" s="2125"/>
      <c r="W161" s="1756"/>
      <c r="X161" s="1757"/>
    </row>
    <row r="162" spans="1:24" s="362" customFormat="1" ht="13.9" customHeight="1">
      <c r="B162" s="362" t="s">
        <v>278</v>
      </c>
      <c r="J162" s="1318">
        <f>'Part III-Sources of Funds'!$H$49-'Part III-Sources of Funds'!H36-'Part III-Sources of Funds'!$H$37-'Part III-Sources of Funds'!$H$40-'Part III-Sources of Funds'!$H$41</f>
        <v>3426000</v>
      </c>
      <c r="K162" s="1322"/>
      <c r="L162" s="1363"/>
      <c r="M162" s="1350"/>
      <c r="N162" s="1351"/>
      <c r="O162" s="1351"/>
      <c r="P162" s="1351"/>
      <c r="Q162" s="1351"/>
      <c r="R162" s="1352"/>
      <c r="S162" s="1355"/>
      <c r="T162" s="1356"/>
      <c r="V162" s="2125"/>
      <c r="W162" s="1756"/>
      <c r="X162" s="1757"/>
    </row>
    <row r="163" spans="1:24" s="362" customFormat="1" ht="13.9" customHeight="1" thickBot="1">
      <c r="B163" s="362" t="s">
        <v>2379</v>
      </c>
      <c r="J163" s="1318">
        <f>+J161-J162</f>
        <v>10046490.989599999</v>
      </c>
      <c r="K163" s="1322"/>
      <c r="L163" s="1363"/>
      <c r="M163" s="1378" t="s">
        <v>3021</v>
      </c>
      <c r="N163" s="1379"/>
      <c r="O163" s="1364">
        <f>'Part III-Sources of Funds'!H36</f>
        <v>0</v>
      </c>
      <c r="P163" s="1364"/>
      <c r="Q163" s="1364"/>
      <c r="R163" s="1365"/>
      <c r="S163" s="501" t="s">
        <v>1776</v>
      </c>
      <c r="T163" s="2152"/>
      <c r="V163" s="2125"/>
      <c r="W163" s="1756"/>
      <c r="X163" s="1757"/>
    </row>
    <row r="164" spans="1:24" s="362" customFormat="1" ht="13.9" customHeight="1">
      <c r="B164" s="362" t="s">
        <v>1373</v>
      </c>
      <c r="J164" s="1377" t="str">
        <f>"/ 10"</f>
        <v>/ 10</v>
      </c>
      <c r="K164" s="1377"/>
      <c r="L164" s="1377"/>
      <c r="M164" s="1142"/>
      <c r="N164" s="607"/>
      <c r="O164" s="607"/>
      <c r="P164" s="607"/>
      <c r="Q164" s="607"/>
      <c r="R164" s="607"/>
      <c r="W164" s="1756"/>
      <c r="X164" s="1757"/>
    </row>
    <row r="165" spans="1:24" s="362" customFormat="1" ht="13.9" customHeight="1">
      <c r="B165" s="362" t="s">
        <v>1374</v>
      </c>
      <c r="J165" s="1318">
        <f>J163/10</f>
        <v>1004649.0989599999</v>
      </c>
      <c r="K165" s="1322"/>
      <c r="L165" s="1319"/>
      <c r="M165" s="382"/>
      <c r="N165" s="1195" t="s">
        <v>1375</v>
      </c>
      <c r="O165" s="1195"/>
      <c r="Q165" s="1195" t="s">
        <v>1924</v>
      </c>
      <c r="R165" s="1195"/>
      <c r="V165" s="2125"/>
      <c r="W165" s="1756"/>
      <c r="X165" s="1757"/>
    </row>
    <row r="166" spans="1:24" s="362" customFormat="1" ht="13.9" customHeight="1" thickBot="1">
      <c r="B166" s="362" t="s">
        <v>1587</v>
      </c>
      <c r="J166" s="1366">
        <f>N166+Q166</f>
        <v>1.25</v>
      </c>
      <c r="K166" s="1367"/>
      <c r="L166" s="1368"/>
      <c r="M166" s="1131" t="s">
        <v>1376</v>
      </c>
      <c r="N166" s="2153">
        <v>0.87</v>
      </c>
      <c r="O166" s="2154"/>
      <c r="P166" s="1131" t="s">
        <v>654</v>
      </c>
      <c r="Q166" s="2153">
        <v>0.38</v>
      </c>
      <c r="R166" s="2154"/>
      <c r="V166" s="2125"/>
      <c r="W166" s="1756"/>
      <c r="X166" s="1757"/>
    </row>
    <row r="167" spans="1:24" s="362" customFormat="1" ht="13.9" customHeight="1" thickBot="1">
      <c r="B167" s="365" t="s">
        <v>1520</v>
      </c>
      <c r="J167" s="1265">
        <f>IF(J166=0,"",J165/J166)</f>
        <v>803719.27916799986</v>
      </c>
      <c r="K167" s="1362"/>
      <c r="L167" s="1266"/>
      <c r="M167" s="382"/>
      <c r="N167" s="1142"/>
      <c r="O167" s="1142"/>
      <c r="V167" s="2125"/>
      <c r="W167" s="1756"/>
      <c r="X167" s="1757"/>
    </row>
    <row r="168" spans="1:24" s="362" customFormat="1" ht="6" customHeight="1">
      <c r="J168" s="439"/>
      <c r="K168" s="439"/>
      <c r="L168" s="439"/>
      <c r="M168" s="382"/>
      <c r="N168" s="1139"/>
      <c r="O168" s="1139"/>
      <c r="W168" s="1756"/>
      <c r="X168" s="1757"/>
    </row>
    <row r="169" spans="1:24" s="362" customFormat="1" ht="16.149999999999999" customHeight="1">
      <c r="B169" s="365" t="s">
        <v>3575</v>
      </c>
      <c r="J169" s="1344">
        <f>IF('Part I-Project Information'!I161 = "Yes",+MIN(J156,J167,'Part I-Project Information'!$O$161,'DCA Underwriting Assumptions'!$R$7),+MIN(J156,J167,'DCA Underwriting Assumptions'!$R$6))</f>
        <v>799296.60961168003</v>
      </c>
      <c r="K169" s="1345"/>
      <c r="L169" s="1346"/>
      <c r="M169" s="382"/>
      <c r="N169" s="1139"/>
      <c r="O169" s="1139"/>
      <c r="V169" s="2125"/>
      <c r="W169" s="1756"/>
      <c r="X169" s="1757"/>
    </row>
    <row r="170" spans="1:24" s="362" customFormat="1" ht="3" customHeight="1">
      <c r="J170" s="439"/>
      <c r="K170" s="439"/>
      <c r="L170" s="439"/>
      <c r="M170" s="382"/>
      <c r="N170" s="1139"/>
      <c r="O170" s="1139"/>
      <c r="W170" s="1756"/>
      <c r="X170" s="1757"/>
    </row>
    <row r="171" spans="1:24" s="362" customFormat="1" ht="16.149999999999999" customHeight="1">
      <c r="B171" s="365" t="s">
        <v>368</v>
      </c>
      <c r="J171" s="2155">
        <v>799296.5</v>
      </c>
      <c r="K171" s="2156"/>
      <c r="L171" s="2157"/>
      <c r="M171" s="440" t="str">
        <f>IF(J169=0,"",IF(J171&gt;J169,"ALLOCATION CANNOT EXCEED MAXIMUM - REVISE REQUEST!",""))</f>
        <v/>
      </c>
      <c r="N171" s="1139"/>
      <c r="O171" s="1139"/>
      <c r="V171" s="2125"/>
      <c r="W171" s="1756"/>
      <c r="X171" s="1757"/>
    </row>
    <row r="172" spans="1:24" s="362" customFormat="1" ht="3" customHeight="1">
      <c r="J172" s="439"/>
      <c r="K172" s="439"/>
      <c r="L172" s="439"/>
      <c r="M172" s="382"/>
      <c r="N172" s="1139"/>
      <c r="O172" s="1139"/>
      <c r="W172" s="1756"/>
      <c r="X172" s="1757"/>
    </row>
    <row r="173" spans="1:24" s="362" customFormat="1" ht="16.149999999999999" customHeight="1">
      <c r="A173" s="525" t="s">
        <v>1917</v>
      </c>
      <c r="B173" s="525" t="s">
        <v>2805</v>
      </c>
      <c r="D173" s="382"/>
      <c r="E173" s="382"/>
      <c r="F173" s="368"/>
      <c r="J173" s="1344">
        <f>IF(J171="",0,+MIN(J169,J171))</f>
        <v>799296.5</v>
      </c>
      <c r="K173" s="1345"/>
      <c r="L173" s="1346"/>
      <c r="N173" s="2158"/>
      <c r="O173" s="2158"/>
      <c r="P173" s="2158"/>
      <c r="Q173" s="2158"/>
      <c r="R173" s="2158"/>
      <c r="S173" s="2158"/>
      <c r="T173" s="2158"/>
      <c r="V173" s="2125"/>
      <c r="W173" s="1764"/>
      <c r="X173" s="1765"/>
    </row>
    <row r="174" spans="1:24" ht="3" customHeight="1"/>
    <row r="175" spans="1:24" ht="6" customHeight="1"/>
    <row r="176" spans="1:24" ht="12" customHeight="1">
      <c r="A176" s="365" t="s">
        <v>1919</v>
      </c>
      <c r="B176" s="391" t="s">
        <v>609</v>
      </c>
      <c r="K176" s="365" t="s">
        <v>564</v>
      </c>
      <c r="L176" s="365" t="s">
        <v>82</v>
      </c>
    </row>
    <row r="177" spans="1:24" ht="201" customHeight="1">
      <c r="A177" s="2159" t="s">
        <v>154</v>
      </c>
      <c r="B177" s="2160"/>
      <c r="C177" s="2160"/>
      <c r="D177" s="2160"/>
      <c r="E177" s="2160"/>
      <c r="F177" s="2160"/>
      <c r="G177" s="2160"/>
      <c r="H177" s="2160"/>
      <c r="I177" s="2160"/>
      <c r="J177" s="2161"/>
      <c r="K177" s="2162"/>
      <c r="L177" s="2163"/>
      <c r="M177" s="2163"/>
      <c r="N177" s="2163"/>
      <c r="O177" s="2163"/>
      <c r="P177" s="2163"/>
      <c r="Q177" s="2163"/>
      <c r="R177" s="2163"/>
      <c r="S177" s="2163"/>
      <c r="T177" s="2164"/>
      <c r="W177" s="1286" t="s">
        <v>2925</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G37">
    <cfRule type="cellIs" dxfId="19" priority="4" stopIfTrue="1" operator="greaterThan">
      <formula>$F35</formula>
    </cfRule>
  </conditionalFormatting>
  <conditionalFormatting sqref="J173:L173">
    <cfRule type="cellIs" dxfId="18" priority="6" stopIfTrue="1" operator="greaterThan">
      <formula>$J$169</formula>
    </cfRule>
  </conditionalFormatting>
  <conditionalFormatting sqref="G34">
    <cfRule type="cellIs" priority="8" stopIfTrue="1" operator="equal">
      <formula>"""Exceeds the limit! Re-check amounts."""</formula>
    </cfRule>
  </conditionalFormatting>
  <conditionalFormatting sqref="J35:K35 M35:N35 P35:Q37">
    <cfRule type="cellIs" dxfId="17" priority="3" operator="greaterThan">
      <formula>$G$35</formula>
    </cfRule>
  </conditionalFormatting>
  <conditionalFormatting sqref="J36:K37 M36:N37">
    <cfRule type="cellIs" dxfId="16" priority="2"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0" t="str">
        <f>CONCATENATE("PART FIVE - UTILITY ALLOWANCES","  -  ",'Part I-Project Information'!$O$4," ",'Part I-Project Information'!$F$23,", ",'Part I-Project Information'!F27,", ",'Part I-Project Information'!J28," County")</f>
        <v>PART FIVE - UTILITY ALLOWANCES  -  2014-051 Macon Gardens, Macon, Bibb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549</v>
      </c>
      <c r="I3" s="1163" t="str">
        <f>VLOOKUP('Part I-Project Information'!$J$28,'Part I-Project Information'!$C$179:$D$338,2)</f>
        <v>Middle</v>
      </c>
    </row>
    <row r="4" spans="1:20" s="9" customFormat="1"/>
    <row r="5" spans="1:20" s="9" customFormat="1">
      <c r="A5" s="16" t="s">
        <v>658</v>
      </c>
      <c r="B5" s="16" t="s">
        <v>2374</v>
      </c>
      <c r="F5" s="9" t="s">
        <v>2691</v>
      </c>
      <c r="I5" s="2165" t="s">
        <v>3704</v>
      </c>
      <c r="J5" s="2166"/>
      <c r="K5" s="2166"/>
      <c r="L5" s="2166"/>
      <c r="M5" s="2167"/>
    </row>
    <row r="6" spans="1:20" s="9" customFormat="1" ht="13.15" customHeight="1">
      <c r="A6" s="16"/>
      <c r="F6" s="9" t="s">
        <v>678</v>
      </c>
      <c r="H6" s="31"/>
      <c r="I6" s="2168" t="s">
        <v>3781</v>
      </c>
      <c r="J6" s="2169"/>
      <c r="K6" s="73" t="s">
        <v>574</v>
      </c>
      <c r="L6" s="2170" t="s">
        <v>2789</v>
      </c>
      <c r="M6" s="2167"/>
    </row>
    <row r="7" spans="1:20" s="9" customFormat="1" ht="6" customHeight="1">
      <c r="A7" s="16"/>
    </row>
    <row r="8" spans="1:20" s="16" customFormat="1">
      <c r="B8" s="293"/>
      <c r="C8" s="293"/>
      <c r="D8" s="293"/>
      <c r="E8" s="293"/>
      <c r="F8" s="1383" t="s">
        <v>651</v>
      </c>
      <c r="G8" s="1383"/>
      <c r="I8" s="1382" t="s">
        <v>209</v>
      </c>
      <c r="J8" s="1382"/>
      <c r="K8" s="1382"/>
      <c r="L8" s="1382"/>
      <c r="M8" s="1382"/>
    </row>
    <row r="9" spans="1:20" s="16" customFormat="1">
      <c r="B9" s="293" t="s">
        <v>853</v>
      </c>
      <c r="D9" s="293" t="s">
        <v>1709</v>
      </c>
      <c r="F9" s="1153" t="s">
        <v>684</v>
      </c>
      <c r="G9" s="1153" t="s">
        <v>1980</v>
      </c>
      <c r="I9" s="294" t="s">
        <v>602</v>
      </c>
      <c r="J9" s="295">
        <v>1</v>
      </c>
      <c r="K9" s="295">
        <v>2</v>
      </c>
      <c r="L9" s="295">
        <v>3</v>
      </c>
      <c r="M9" s="295">
        <v>4</v>
      </c>
    </row>
    <row r="10" spans="1:20" s="9" customFormat="1">
      <c r="B10" s="296" t="s">
        <v>1982</v>
      </c>
      <c r="C10" s="297"/>
      <c r="D10" s="2171" t="s">
        <v>1705</v>
      </c>
      <c r="E10" s="2172"/>
      <c r="F10" s="2173" t="s">
        <v>464</v>
      </c>
      <c r="G10" s="2173"/>
      <c r="H10" s="298"/>
      <c r="I10" s="2174">
        <v>7</v>
      </c>
      <c r="J10" s="2174">
        <v>21</v>
      </c>
      <c r="K10" s="2174">
        <v>23</v>
      </c>
      <c r="L10" s="2174">
        <v>34</v>
      </c>
      <c r="M10" s="2174">
        <v>37</v>
      </c>
    </row>
    <row r="11" spans="1:20" s="9" customFormat="1">
      <c r="B11" s="299" t="s">
        <v>494</v>
      </c>
      <c r="C11" s="300"/>
      <c r="D11" s="299" t="s">
        <v>1705</v>
      </c>
      <c r="E11" s="300"/>
      <c r="F11" s="2175" t="s">
        <v>464</v>
      </c>
      <c r="G11" s="2175"/>
      <c r="H11" s="301"/>
      <c r="I11" s="2176">
        <v>23</v>
      </c>
      <c r="J11" s="2176">
        <v>33</v>
      </c>
      <c r="K11" s="2176">
        <v>42</v>
      </c>
      <c r="L11" s="2177">
        <v>42</v>
      </c>
      <c r="M11" s="2177">
        <v>44</v>
      </c>
    </row>
    <row r="12" spans="1:20" s="9" customFormat="1">
      <c r="B12" s="299" t="s">
        <v>1706</v>
      </c>
      <c r="C12" s="300"/>
      <c r="D12" s="2178" t="s">
        <v>1705</v>
      </c>
      <c r="E12" s="2179"/>
      <c r="F12" s="2175" t="s">
        <v>464</v>
      </c>
      <c r="G12" s="2175"/>
      <c r="H12" s="301"/>
      <c r="I12" s="2176">
        <v>7</v>
      </c>
      <c r="J12" s="2176">
        <v>9</v>
      </c>
      <c r="K12" s="2176">
        <v>12</v>
      </c>
      <c r="L12" s="2177">
        <v>12</v>
      </c>
      <c r="M12" s="2177">
        <v>14</v>
      </c>
    </row>
    <row r="13" spans="1:20" s="9" customFormat="1">
      <c r="B13" s="299" t="s">
        <v>1707</v>
      </c>
      <c r="C13" s="300"/>
      <c r="D13" s="2178" t="s">
        <v>1705</v>
      </c>
      <c r="E13" s="2179"/>
      <c r="F13" s="2175" t="s">
        <v>464</v>
      </c>
      <c r="G13" s="2175"/>
      <c r="H13" s="301"/>
      <c r="I13" s="2176">
        <v>21</v>
      </c>
      <c r="J13" s="2176">
        <v>29</v>
      </c>
      <c r="K13" s="2176">
        <v>37</v>
      </c>
      <c r="L13" s="2177">
        <v>37</v>
      </c>
      <c r="M13" s="2177">
        <v>39</v>
      </c>
    </row>
    <row r="14" spans="1:20" s="9" customFormat="1">
      <c r="B14" s="299" t="s">
        <v>1708</v>
      </c>
      <c r="C14" s="300"/>
      <c r="D14" s="299" t="s">
        <v>1705</v>
      </c>
      <c r="E14" s="302"/>
      <c r="F14" s="2175" t="s">
        <v>464</v>
      </c>
      <c r="G14" s="2175"/>
      <c r="H14" s="301"/>
      <c r="I14" s="2176">
        <v>19</v>
      </c>
      <c r="J14" s="2176">
        <v>27</v>
      </c>
      <c r="K14" s="2176">
        <v>34</v>
      </c>
      <c r="L14" s="2177">
        <v>33</v>
      </c>
      <c r="M14" s="2177">
        <v>46</v>
      </c>
    </row>
    <row r="15" spans="1:20" s="9" customFormat="1">
      <c r="B15" s="299" t="s">
        <v>1458</v>
      </c>
      <c r="C15" s="300"/>
      <c r="D15" s="299" t="s">
        <v>2373</v>
      </c>
      <c r="E15" s="2180" t="s">
        <v>3702</v>
      </c>
      <c r="F15" s="2175"/>
      <c r="G15" s="2175" t="s">
        <v>464</v>
      </c>
      <c r="H15" s="301"/>
      <c r="I15" s="2176">
        <v>0</v>
      </c>
      <c r="J15" s="2176">
        <v>0</v>
      </c>
      <c r="K15" s="2176">
        <v>0</v>
      </c>
      <c r="L15" s="2177">
        <v>0</v>
      </c>
      <c r="M15" s="2177">
        <v>0</v>
      </c>
    </row>
    <row r="16" spans="1:20" s="9" customFormat="1">
      <c r="B16" s="303" t="s">
        <v>1981</v>
      </c>
      <c r="C16" s="304"/>
      <c r="D16" s="303"/>
      <c r="E16" s="270"/>
      <c r="F16" s="2181"/>
      <c r="G16" s="2181" t="s">
        <v>464</v>
      </c>
      <c r="H16" s="305"/>
      <c r="I16" s="2182">
        <v>0</v>
      </c>
      <c r="J16" s="2182">
        <v>0</v>
      </c>
      <c r="K16" s="2182">
        <v>0</v>
      </c>
      <c r="L16" s="2183">
        <v>0</v>
      </c>
      <c r="M16" s="2183">
        <v>0</v>
      </c>
    </row>
    <row r="17" spans="1:19" s="9" customFormat="1">
      <c r="B17" s="293" t="s">
        <v>1083</v>
      </c>
      <c r="D17" s="31"/>
      <c r="E17" s="31"/>
      <c r="F17" s="94"/>
      <c r="G17" s="94"/>
      <c r="I17" s="1153">
        <f>SUM(I10:I16)</f>
        <v>77</v>
      </c>
      <c r="J17" s="1153">
        <f>SUM(J10:J16)</f>
        <v>119</v>
      </c>
      <c r="K17" s="1153">
        <f>SUM(K10:K16)</f>
        <v>148</v>
      </c>
      <c r="L17" s="1153">
        <f>SUM(L10:L16)</f>
        <v>158</v>
      </c>
      <c r="M17" s="1153">
        <f>SUM(M10:M16)</f>
        <v>180</v>
      </c>
    </row>
    <row r="18" spans="1:19" s="9" customFormat="1" ht="11.25" customHeight="1">
      <c r="M18" s="31"/>
      <c r="N18" s="31"/>
      <c r="O18" s="31"/>
      <c r="P18" s="31"/>
      <c r="Q18" s="31"/>
      <c r="R18" s="31"/>
      <c r="S18" s="31"/>
    </row>
    <row r="19" spans="1:19" s="9" customFormat="1">
      <c r="A19" s="16" t="s">
        <v>791</v>
      </c>
      <c r="B19" s="16" t="s">
        <v>2375</v>
      </c>
      <c r="F19" s="9" t="s">
        <v>2691</v>
      </c>
      <c r="I19" s="2170"/>
      <c r="J19" s="2166"/>
      <c r="K19" s="2166"/>
      <c r="L19" s="2166"/>
      <c r="M19" s="2167"/>
    </row>
    <row r="20" spans="1:19" s="9" customFormat="1" ht="13.15" customHeight="1">
      <c r="A20" s="16"/>
      <c r="B20" s="16"/>
      <c r="F20" s="9" t="s">
        <v>678</v>
      </c>
      <c r="H20" s="31"/>
      <c r="I20" s="2184"/>
      <c r="J20" s="2169"/>
      <c r="K20" s="73" t="s">
        <v>574</v>
      </c>
      <c r="L20" s="2170"/>
      <c r="M20" s="2167"/>
    </row>
    <row r="21" spans="1:19" s="9" customFormat="1" ht="6" customHeight="1">
      <c r="A21" s="16"/>
    </row>
    <row r="22" spans="1:19" s="16" customFormat="1">
      <c r="B22" s="293"/>
      <c r="C22" s="293"/>
      <c r="D22" s="293"/>
      <c r="E22" s="293"/>
      <c r="F22" s="1383" t="s">
        <v>651</v>
      </c>
      <c r="G22" s="1383"/>
      <c r="I22" s="1382" t="s">
        <v>209</v>
      </c>
      <c r="J22" s="1382"/>
      <c r="K22" s="1382"/>
      <c r="L22" s="1382"/>
      <c r="M22" s="1382"/>
    </row>
    <row r="23" spans="1:19" s="16" customFormat="1">
      <c r="B23" s="293" t="s">
        <v>853</v>
      </c>
      <c r="D23" s="293" t="s">
        <v>1709</v>
      </c>
      <c r="F23" s="1153" t="s">
        <v>684</v>
      </c>
      <c r="G23" s="1153" t="s">
        <v>1980</v>
      </c>
      <c r="I23" s="294" t="s">
        <v>602</v>
      </c>
      <c r="J23" s="295">
        <v>1</v>
      </c>
      <c r="K23" s="295">
        <v>2</v>
      </c>
      <c r="L23" s="295">
        <v>3</v>
      </c>
      <c r="M23" s="295">
        <v>4</v>
      </c>
    </row>
    <row r="24" spans="1:19" s="9" customFormat="1">
      <c r="B24" s="296" t="s">
        <v>1982</v>
      </c>
      <c r="C24" s="297"/>
      <c r="D24" s="2171" t="s">
        <v>1948</v>
      </c>
      <c r="E24" s="2172"/>
      <c r="F24" s="2173"/>
      <c r="G24" s="2173"/>
      <c r="H24" s="298"/>
      <c r="I24" s="2174"/>
      <c r="J24" s="2174"/>
      <c r="K24" s="2174"/>
      <c r="L24" s="2174"/>
      <c r="M24" s="2174"/>
    </row>
    <row r="25" spans="1:19" s="9" customFormat="1">
      <c r="B25" s="299" t="s">
        <v>494</v>
      </c>
      <c r="C25" s="300"/>
      <c r="D25" s="299" t="s">
        <v>1705</v>
      </c>
      <c r="E25" s="300"/>
      <c r="F25" s="2175"/>
      <c r="G25" s="2175"/>
      <c r="H25" s="301"/>
      <c r="I25" s="2176"/>
      <c r="J25" s="2176"/>
      <c r="K25" s="2176"/>
      <c r="L25" s="2177"/>
      <c r="M25" s="2177"/>
    </row>
    <row r="26" spans="1:19" s="9" customFormat="1">
      <c r="B26" s="299" t="s">
        <v>1706</v>
      </c>
      <c r="C26" s="300"/>
      <c r="D26" s="2178" t="s">
        <v>1948</v>
      </c>
      <c r="E26" s="2179"/>
      <c r="F26" s="2175"/>
      <c r="G26" s="2175"/>
      <c r="H26" s="301"/>
      <c r="I26" s="2176"/>
      <c r="J26" s="2176"/>
      <c r="K26" s="2176"/>
      <c r="L26" s="2177"/>
      <c r="M26" s="2177"/>
    </row>
    <row r="27" spans="1:19" s="9" customFormat="1">
      <c r="B27" s="299" t="s">
        <v>1707</v>
      </c>
      <c r="C27" s="300"/>
      <c r="D27" s="2178" t="s">
        <v>1948</v>
      </c>
      <c r="E27" s="2179"/>
      <c r="F27" s="2175"/>
      <c r="G27" s="2175"/>
      <c r="H27" s="301"/>
      <c r="I27" s="2176"/>
      <c r="J27" s="2176"/>
      <c r="K27" s="2176"/>
      <c r="L27" s="2177"/>
      <c r="M27" s="2177"/>
    </row>
    <row r="28" spans="1:19" s="9" customFormat="1">
      <c r="B28" s="299" t="s">
        <v>1708</v>
      </c>
      <c r="C28" s="300"/>
      <c r="D28" s="299" t="s">
        <v>1705</v>
      </c>
      <c r="E28" s="302"/>
      <c r="F28" s="2175"/>
      <c r="G28" s="2175"/>
      <c r="H28" s="301"/>
      <c r="I28" s="2176"/>
      <c r="J28" s="2176"/>
      <c r="K28" s="2176"/>
      <c r="L28" s="2177"/>
      <c r="M28" s="2177"/>
    </row>
    <row r="29" spans="1:19" s="9" customFormat="1">
      <c r="B29" s="299" t="s">
        <v>1458</v>
      </c>
      <c r="C29" s="300"/>
      <c r="D29" s="299" t="s">
        <v>2373</v>
      </c>
      <c r="E29" s="2180" t="s">
        <v>210</v>
      </c>
      <c r="F29" s="2175"/>
      <c r="G29" s="2175"/>
      <c r="H29" s="301"/>
      <c r="I29" s="2176"/>
      <c r="J29" s="2176"/>
      <c r="K29" s="2176"/>
      <c r="L29" s="2177"/>
      <c r="M29" s="2177"/>
    </row>
    <row r="30" spans="1:19" s="9" customFormat="1">
      <c r="B30" s="303" t="s">
        <v>1981</v>
      </c>
      <c r="C30" s="304"/>
      <c r="D30" s="303"/>
      <c r="E30" s="270"/>
      <c r="F30" s="2181"/>
      <c r="G30" s="2181"/>
      <c r="H30" s="305"/>
      <c r="I30" s="2182"/>
      <c r="J30" s="2182"/>
      <c r="K30" s="2182"/>
      <c r="L30" s="2183"/>
      <c r="M30" s="2183"/>
    </row>
    <row r="31" spans="1:19" s="9" customFormat="1">
      <c r="B31" s="293" t="s">
        <v>1083</v>
      </c>
      <c r="D31" s="31"/>
      <c r="E31" s="31"/>
      <c r="F31" s="94"/>
      <c r="G31" s="94"/>
      <c r="I31" s="1153">
        <f>SUM(I24:I30)</f>
        <v>0</v>
      </c>
      <c r="J31" s="1153">
        <f>SUM(J24:J30)</f>
        <v>0</v>
      </c>
      <c r="K31" s="1153">
        <f>SUM(K24:K30)</f>
        <v>0</v>
      </c>
      <c r="L31" s="1153">
        <f>SUM(L24:L30)</f>
        <v>0</v>
      </c>
      <c r="M31" s="1153">
        <f>SUM(M24:M30)</f>
        <v>0</v>
      </c>
    </row>
    <row r="32" spans="1:19">
      <c r="A32" s="9"/>
    </row>
    <row r="33" spans="1:19">
      <c r="B33" s="306"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5" t="s">
        <v>3837</v>
      </c>
      <c r="C36" s="2186"/>
      <c r="D36" s="2186"/>
      <c r="E36" s="2186"/>
      <c r="F36" s="2186"/>
      <c r="G36" s="2186"/>
      <c r="H36" s="2186"/>
      <c r="I36" s="2186"/>
      <c r="J36" s="2186"/>
      <c r="K36" s="2186"/>
      <c r="L36" s="2186"/>
      <c r="M36" s="2187"/>
      <c r="N36" s="31"/>
      <c r="O36" s="1181" t="s">
        <v>2925</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1975</v>
      </c>
      <c r="M38" s="31"/>
      <c r="N38" s="31"/>
      <c r="O38" s="1181"/>
      <c r="P38" s="1181"/>
      <c r="Q38" s="1181"/>
      <c r="R38" s="1181"/>
      <c r="S38" s="1181"/>
    </row>
    <row r="39" spans="1:19" s="9" customFormat="1" ht="24.75" customHeight="1">
      <c r="B39" s="2188"/>
      <c r="C39" s="2189"/>
      <c r="D39" s="2189"/>
      <c r="E39" s="2189"/>
      <c r="F39" s="2189"/>
      <c r="G39" s="2189"/>
      <c r="H39" s="2189"/>
      <c r="I39" s="2189"/>
      <c r="J39" s="2189"/>
      <c r="K39" s="2189"/>
      <c r="L39" s="2189"/>
      <c r="M39" s="2190"/>
      <c r="N39" s="31"/>
      <c r="O39" s="1181"/>
      <c r="P39" s="1181"/>
      <c r="Q39" s="1181"/>
      <c r="R39" s="1181"/>
      <c r="S39" s="1181"/>
    </row>
  </sheetData>
  <sheetProtection password="B3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2014-06-05T18:47:26Z</cp:lastPrinted>
  <dcterms:created xsi:type="dcterms:W3CDTF">2005-09-15T20:51:37Z</dcterms:created>
  <dcterms:modified xsi:type="dcterms:W3CDTF">2014-07-28T14:59:51Z</dcterms:modified>
</cp:coreProperties>
</file>